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1740" yWindow="400" windowWidth="25360" windowHeight="15820"/>
  </bookViews>
  <sheets>
    <sheet name="DATA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2" i="1" l="1"/>
  <c r="E352" i="1"/>
  <c r="N351" i="1"/>
  <c r="E348" i="1"/>
  <c r="E347" i="1"/>
  <c r="E336" i="1"/>
  <c r="E334" i="1"/>
  <c r="E333" i="1"/>
  <c r="E320" i="1"/>
  <c r="N317" i="1"/>
  <c r="M317" i="1"/>
  <c r="E313" i="1"/>
  <c r="R306" i="1"/>
  <c r="N303" i="1"/>
  <c r="E301" i="1"/>
  <c r="E300" i="1"/>
  <c r="E297" i="1"/>
  <c r="E296" i="1"/>
  <c r="N295" i="1"/>
  <c r="E294" i="1"/>
  <c r="E293" i="1"/>
  <c r="E292" i="1"/>
  <c r="N289" i="1"/>
  <c r="E289" i="1"/>
  <c r="N284" i="1"/>
  <c r="E283" i="1"/>
  <c r="N282" i="1"/>
  <c r="N281" i="1"/>
  <c r="E281" i="1"/>
  <c r="Q274" i="1"/>
  <c r="N269" i="1"/>
  <c r="E268" i="1"/>
  <c r="E244" i="1"/>
  <c r="E243" i="1"/>
  <c r="E238" i="1"/>
  <c r="N230" i="1"/>
  <c r="E230" i="1"/>
  <c r="N229" i="1"/>
  <c r="M229" i="1"/>
  <c r="E227" i="1"/>
  <c r="N226" i="1"/>
  <c r="E226" i="1"/>
  <c r="N219" i="1"/>
  <c r="M219" i="1"/>
  <c r="E208" i="1"/>
  <c r="N207" i="1"/>
  <c r="E205" i="1"/>
  <c r="P202" i="1"/>
  <c r="M200" i="1"/>
  <c r="E200" i="1"/>
  <c r="E198" i="1"/>
  <c r="E191" i="1"/>
  <c r="N189" i="1"/>
  <c r="E188" i="1"/>
  <c r="M184" i="1"/>
  <c r="L184" i="1"/>
  <c r="E184" i="1"/>
  <c r="E183" i="1"/>
  <c r="E181" i="1"/>
  <c r="E172" i="1"/>
  <c r="M167" i="1"/>
  <c r="N164" i="1"/>
  <c r="M164" i="1"/>
  <c r="E162" i="1"/>
  <c r="N160" i="1"/>
  <c r="E160" i="1"/>
  <c r="M150" i="1"/>
  <c r="N146" i="1"/>
  <c r="N145" i="1"/>
  <c r="E145" i="1"/>
  <c r="E140" i="1"/>
  <c r="M139" i="1"/>
  <c r="E139" i="1"/>
  <c r="N135" i="1"/>
  <c r="M135" i="1"/>
  <c r="E135" i="1"/>
  <c r="N133" i="1"/>
  <c r="E132" i="1"/>
  <c r="N130" i="1"/>
  <c r="E125" i="1"/>
  <c r="E124" i="1"/>
  <c r="E118" i="1"/>
  <c r="E117" i="1"/>
  <c r="M112" i="1"/>
  <c r="E106" i="1"/>
  <c r="N100" i="1"/>
  <c r="E99" i="1"/>
  <c r="N98" i="1"/>
  <c r="M98" i="1"/>
  <c r="E92" i="1"/>
  <c r="E91" i="1"/>
  <c r="N87" i="1"/>
  <c r="E84" i="1"/>
  <c r="E82" i="1"/>
  <c r="M81" i="1"/>
  <c r="M80" i="1"/>
  <c r="N79" i="1"/>
  <c r="E79" i="1"/>
  <c r="E78" i="1"/>
  <c r="E77" i="1"/>
  <c r="N75" i="1"/>
  <c r="E75" i="1"/>
  <c r="N73" i="1"/>
  <c r="E66" i="1"/>
  <c r="N64" i="1"/>
  <c r="M64" i="1"/>
  <c r="N62" i="1"/>
  <c r="E54" i="1"/>
  <c r="E53" i="1"/>
  <c r="E49" i="1"/>
  <c r="N39" i="1"/>
  <c r="E37" i="1"/>
  <c r="E28" i="1"/>
  <c r="E19" i="1"/>
  <c r="E18" i="1"/>
  <c r="E16" i="1"/>
  <c r="E14" i="1"/>
  <c r="N9" i="1"/>
  <c r="E4" i="1"/>
</calcChain>
</file>

<file path=xl/comments1.xml><?xml version="1.0" encoding="utf-8"?>
<comments xmlns="http://schemas.openxmlformats.org/spreadsheetml/2006/main">
  <authors>
    <author>Usuario de Microsoft Office</author>
  </authors>
  <commentList>
    <comment ref="E46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Max</t>
        </r>
      </text>
    </comment>
    <comment ref="F46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ajustado al 20% de la long. Del pez</t>
        </r>
      </text>
    </comment>
    <comment ref="P98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max
</t>
        </r>
      </text>
    </comment>
    <comment ref="H105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Motta Jr et al. 1996 tambien reportan Mango, pero no indica tamano</t>
        </r>
      </text>
    </comment>
    <comment ref="F177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entre 11 y 15 segun lapenta, pero sin especie particular</t>
        </r>
      </text>
    </comment>
    <comment ref="F201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</t>
        </r>
      </text>
    </comment>
    <comment ref="F204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regurgitada</t>
        </r>
      </text>
    </comment>
    <comment ref="M219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aprox.</t>
        </r>
      </text>
    </comment>
    <comment ref="N219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aprox.
</t>
        </r>
      </text>
    </comment>
    <comment ref="M230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approx
</t>
        </r>
      </text>
    </comment>
    <comment ref="M245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aprox.</t>
        </r>
      </text>
    </comment>
    <comment ref="H282" authorId="0">
      <text>
        <r>
          <rPr>
            <b/>
            <sz val="10"/>
            <color indexed="81"/>
            <rFont val="Calibri"/>
          </rPr>
          <t xml:space="preserve">Usuario de Microsoft Office: Mas grande en Mauritius
</t>
        </r>
      </text>
    </comment>
    <comment ref="M284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de R. tucanusde Kays et al. 2011
</t>
        </r>
      </text>
    </comment>
    <comment ref="M303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aprox.</t>
        </r>
      </text>
    </comment>
    <comment ref="E324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peso de Ameiba!</t>
        </r>
      </text>
    </comment>
  </commentList>
</comments>
</file>

<file path=xl/sharedStrings.xml><?xml version="1.0" encoding="utf-8"?>
<sst xmlns="http://schemas.openxmlformats.org/spreadsheetml/2006/main" count="2187" uniqueCount="1483">
  <si>
    <t>order</t>
  </si>
  <si>
    <t>Sepecies</t>
  </si>
  <si>
    <t>Common name</t>
  </si>
  <si>
    <t>Frugivore</t>
  </si>
  <si>
    <t>body weight (kg)</t>
  </si>
  <si>
    <t>Max. seed width (mm)</t>
  </si>
  <si>
    <t>Max. seed weight (gr)</t>
  </si>
  <si>
    <t>Plant species</t>
  </si>
  <si>
    <t>Reference</t>
  </si>
  <si>
    <t>Site</t>
  </si>
  <si>
    <t>Kind of data</t>
  </si>
  <si>
    <t>Max. dispersal distance (m)</t>
  </si>
  <si>
    <t>Mean DD</t>
  </si>
  <si>
    <t>Mean Retention time (h)</t>
  </si>
  <si>
    <t>Observation</t>
  </si>
  <si>
    <t>HR (ha)</t>
  </si>
  <si>
    <t>DDR</t>
  </si>
  <si>
    <t>mmm</t>
  </si>
  <si>
    <t>Sinzoo</t>
  </si>
  <si>
    <t xml:space="preserve">Aceros comatus </t>
  </si>
  <si>
    <t>White crowned hornbill</t>
  </si>
  <si>
    <t>d</t>
  </si>
  <si>
    <t>Myristica iners</t>
  </si>
  <si>
    <t>Kitamura et al. 2011</t>
  </si>
  <si>
    <t>Southern Thailand</t>
  </si>
  <si>
    <t xml:space="preserve">Aceros corrugatus </t>
  </si>
  <si>
    <t xml:space="preserve">Wrinkled hornbill </t>
  </si>
  <si>
    <t>Horsfieldia sucosa</t>
  </si>
  <si>
    <t xml:space="preserve">Aceros undulatus </t>
  </si>
  <si>
    <t>Wreathed hornbill</t>
  </si>
  <si>
    <t>Aepyceros melampus</t>
  </si>
  <si>
    <t>Impala</t>
  </si>
  <si>
    <t>n</t>
  </si>
  <si>
    <t xml:space="preserve">Acacia nilotica </t>
  </si>
  <si>
    <t>Slater &amp; du Toit 2002</t>
  </si>
  <si>
    <t xml:space="preserve">Mohale’s Gate P.R. &amp; Mosdene N.R., South Africa </t>
  </si>
  <si>
    <t xml:space="preserve">Akodon paranaensis </t>
  </si>
  <si>
    <t>Small rodent</t>
  </si>
  <si>
    <t>Cyphomandra sp.</t>
  </si>
  <si>
    <t>Casella &amp; Cáceres 2006</t>
  </si>
  <si>
    <t>Iguacu River, Brazil</t>
  </si>
  <si>
    <t xml:space="preserve">Aldabrachelys gigantea </t>
  </si>
  <si>
    <t xml:space="preserve">Giant tortoise </t>
  </si>
  <si>
    <t>c</t>
  </si>
  <si>
    <t xml:space="preserve">Veitchia merrillii </t>
  </si>
  <si>
    <t>Waibel et al. 2013</t>
  </si>
  <si>
    <t>Cave Reserve, Rodrigues</t>
  </si>
  <si>
    <t>Alopecoenas xanthonurus</t>
  </si>
  <si>
    <t>Mariana fruit dove</t>
  </si>
  <si>
    <t>Discocalyx megacarpa</t>
  </si>
  <si>
    <t>Fricke et al. 2018</t>
  </si>
  <si>
    <t>Saipan, Mariana Island</t>
  </si>
  <si>
    <t>Alophoixus pallidus</t>
  </si>
  <si>
    <t>Puff-throated bulbul</t>
  </si>
  <si>
    <t xml:space="preserve">Phoebe cathia </t>
  </si>
  <si>
    <t>Kitamura et al. 2002, Khamcha et al. 2014</t>
  </si>
  <si>
    <t xml:space="preserve">Khao Yai N.P., Thailand </t>
  </si>
  <si>
    <t>Alouatta caraya</t>
  </si>
  <si>
    <t>Golden-mantled howler</t>
  </si>
  <si>
    <t>Brosimum cf. alicastrum</t>
  </si>
  <si>
    <t>Moura &amp; McConkey 2007</t>
  </si>
  <si>
    <t>Serra da Capivara N.P., Brazil</t>
  </si>
  <si>
    <t xml:space="preserve">Alouatta guariba </t>
  </si>
  <si>
    <t>Brown howler</t>
  </si>
  <si>
    <t xml:space="preserve">Neomithrantes obscura </t>
  </si>
  <si>
    <t>Martins 2008</t>
  </si>
  <si>
    <t>Southeastern Brazil</t>
  </si>
  <si>
    <t>Alouatta palliata</t>
  </si>
  <si>
    <t>Howler monkey</t>
  </si>
  <si>
    <t>Spondias mombin</t>
  </si>
  <si>
    <t>Wehncke et al. 2004</t>
  </si>
  <si>
    <t>BCI, Panama</t>
  </si>
  <si>
    <t>Alouatta pigra</t>
  </si>
  <si>
    <t>Virola guatemalensis</t>
  </si>
  <si>
    <t>Benitez-Malvido et al. 2014, Zarate et al. 2014</t>
  </si>
  <si>
    <t>Montes Azules Biosphere Reserve, Mexico</t>
  </si>
  <si>
    <t>Alouatta seniculus</t>
  </si>
  <si>
    <t>Red howler</t>
  </si>
  <si>
    <t>Pouteria laevigata</t>
  </si>
  <si>
    <t>Julliot 1997</t>
  </si>
  <si>
    <t>French Guyana</t>
  </si>
  <si>
    <t>Anas acuta</t>
  </si>
  <si>
    <t xml:space="preserve">Northern pintails </t>
  </si>
  <si>
    <t xml:space="preserve">Sparganium eurycarpum </t>
  </si>
  <si>
    <t>Mueller &amp; van der Valk 2002</t>
  </si>
  <si>
    <t>USA &amp; Canada</t>
  </si>
  <si>
    <t xml:space="preserve">Anas castanea </t>
  </si>
  <si>
    <t xml:space="preserve">Chestnut teal </t>
  </si>
  <si>
    <t xml:space="preserve">Triglochin striata </t>
  </si>
  <si>
    <t>Raulings et al. 2011</t>
  </si>
  <si>
    <t>Gippsland Lakes, Australia</t>
  </si>
  <si>
    <t>Anas crecca</t>
  </si>
  <si>
    <t>Eurasian teal</t>
  </si>
  <si>
    <t>Echinochloa crus‐galli</t>
  </si>
  <si>
    <t>Brochet et al. 2009</t>
  </si>
  <si>
    <t>Camargue, France</t>
  </si>
  <si>
    <t xml:space="preserve">Anas gracilis </t>
  </si>
  <si>
    <t>Grey teal</t>
  </si>
  <si>
    <t xml:space="preserve">Bolboschoenus fluviatilis </t>
  </si>
  <si>
    <t>Green et al. 2008, Raulings et al. 2011</t>
  </si>
  <si>
    <t>Macquarie Marshes, Australia</t>
  </si>
  <si>
    <t>Model</t>
  </si>
  <si>
    <t xml:space="preserve">Anas platyrhynchos </t>
  </si>
  <si>
    <t>Mallard duck</t>
  </si>
  <si>
    <t xml:space="preserve">Iris pseudacorus </t>
  </si>
  <si>
    <t>Kleyheeg &amp; van Leeuwen 2015</t>
  </si>
  <si>
    <t>Netherlands</t>
  </si>
  <si>
    <t xml:space="preserve">Anas superciliosa </t>
  </si>
  <si>
    <t xml:space="preserve">Pacific black duck </t>
  </si>
  <si>
    <t xml:space="preserve">Anodorhynchus leari </t>
  </si>
  <si>
    <t>Lear's Macaw</t>
  </si>
  <si>
    <t xml:space="preserve">Cereus jamacaru </t>
  </si>
  <si>
    <t>Blanco et al. 1916</t>
  </si>
  <si>
    <t>Brazil</t>
  </si>
  <si>
    <t xml:space="preserve">Anolis garmani </t>
  </si>
  <si>
    <t>Anolis lizard</t>
  </si>
  <si>
    <t xml:space="preserve">Canella winterana </t>
  </si>
  <si>
    <t>Herrel et al. 2004</t>
  </si>
  <si>
    <t xml:space="preserve">Discovery Bay, Jamaica </t>
  </si>
  <si>
    <t xml:space="preserve">Anolis grahami </t>
  </si>
  <si>
    <t xml:space="preserve">Anolis lineatopus </t>
  </si>
  <si>
    <t xml:space="preserve">Anolis valencienni </t>
  </si>
  <si>
    <t xml:space="preserve">Anorrhinus galeritus </t>
  </si>
  <si>
    <t xml:space="preserve">Bushy-crested hornbill </t>
  </si>
  <si>
    <t xml:space="preserve">Anthornis melanura </t>
  </si>
  <si>
    <t>Bellbird</t>
  </si>
  <si>
    <t>Ilex aquifolium</t>
  </si>
  <si>
    <t>Williams &amp; Karl 1996</t>
  </si>
  <si>
    <t>Eves, Marsden, Faulkners, New Zeland</t>
  </si>
  <si>
    <t>Anthracoceros albirostris</t>
  </si>
  <si>
    <t xml:space="preserve">Oriental pied hornbill </t>
  </si>
  <si>
    <t xml:space="preserve">Horsfieldia kingii </t>
  </si>
  <si>
    <t>Datta &amp; Rawat 2004</t>
  </si>
  <si>
    <t xml:space="preserve">Arunachal Pradesh, India </t>
  </si>
  <si>
    <t xml:space="preserve">Antidorcas marsupialis </t>
  </si>
  <si>
    <t>Springbok</t>
  </si>
  <si>
    <t>Asteraceae</t>
  </si>
  <si>
    <t>Milton &amp; Dean 2001</t>
  </si>
  <si>
    <t>Karoo and Kalahari, South Africa</t>
  </si>
  <si>
    <t xml:space="preserve">Apalopteron familiare </t>
  </si>
  <si>
    <t xml:space="preserve">Bonin Islands white-eye </t>
  </si>
  <si>
    <t>Kawakami et al. 2009</t>
  </si>
  <si>
    <t xml:space="preserve">Bonin Islands, Japan </t>
  </si>
  <si>
    <t>Aplonis opaca</t>
  </si>
  <si>
    <t>Micronesian starling</t>
  </si>
  <si>
    <t>Aglaia mariannensis</t>
  </si>
  <si>
    <t>Arctictis binturong</t>
  </si>
  <si>
    <t>Binturong</t>
  </si>
  <si>
    <t xml:space="preserve">Platymitra macrocarpa </t>
  </si>
  <si>
    <t>Kitamura et al. 2002</t>
  </si>
  <si>
    <t xml:space="preserve">Arion rufus </t>
  </si>
  <si>
    <t>Red slug</t>
  </si>
  <si>
    <t xml:space="preserve">Anemone nemorosa </t>
  </si>
  <si>
    <t>Türke &amp; Weisser 2013</t>
  </si>
  <si>
    <t>Hainich region, Germany</t>
  </si>
  <si>
    <t>Arremon flavirrostris</t>
  </si>
  <si>
    <t>Saffron-billed sparrow</t>
  </si>
  <si>
    <t>Morus nigra</t>
  </si>
  <si>
    <t>Gianini 1999</t>
  </si>
  <si>
    <t>Jungas, Argentina</t>
  </si>
  <si>
    <t xml:space="preserve">Artibeus jamaicensis </t>
  </si>
  <si>
    <t>Jamaican fruit-eating bat</t>
  </si>
  <si>
    <t xml:space="preserve">Maclura tinctoria </t>
  </si>
  <si>
    <t>Heithaus et al. 1975</t>
  </si>
  <si>
    <t>La Pacifica, Costa Rica</t>
  </si>
  <si>
    <t xml:space="preserve">Artibeus lituratus </t>
  </si>
  <si>
    <t>Great fruit-eating bat</t>
  </si>
  <si>
    <t>Psidium guajava</t>
  </si>
  <si>
    <t>Zapata-Mesa et al. 2017</t>
  </si>
  <si>
    <t>Valle del Cauca, Colombia</t>
  </si>
  <si>
    <t>Artibeus planirostris</t>
  </si>
  <si>
    <t>Flat-faced fruit-eating bat</t>
  </si>
  <si>
    <t>Celtis iguanaeus</t>
  </si>
  <si>
    <t>Sanchez et al. 2012</t>
  </si>
  <si>
    <t>Las Capillas Argentina</t>
  </si>
  <si>
    <t>Asio flameus</t>
  </si>
  <si>
    <t>Short-eared owl</t>
  </si>
  <si>
    <t>Chamaesyse sp.</t>
  </si>
  <si>
    <t>Heleno et al. 2011</t>
  </si>
  <si>
    <t>Galapagos, Ecuador</t>
  </si>
  <si>
    <t>Ateles belzebuth</t>
  </si>
  <si>
    <t>Spider monkey</t>
  </si>
  <si>
    <t>Iryanthera sp.</t>
  </si>
  <si>
    <t>Dew 2008, Link &amp; DiFiore 2006</t>
  </si>
  <si>
    <t>Yasuni, Ecuador</t>
  </si>
  <si>
    <t>Field data</t>
  </si>
  <si>
    <t>Ateles chamek</t>
  </si>
  <si>
    <t>Black spider monkey</t>
  </si>
  <si>
    <t>Socratea exorrhiza</t>
  </si>
  <si>
    <t>Palma &amp; Stevenson 2010, Russo et al. 2006</t>
  </si>
  <si>
    <t>Cocha Cashu, Peru</t>
  </si>
  <si>
    <t>Field data, model</t>
  </si>
  <si>
    <t>Ateles geoffroyi</t>
  </si>
  <si>
    <t>Benitez-Malvido et al. 2014</t>
  </si>
  <si>
    <t>Ateles hybridus</t>
  </si>
  <si>
    <t>Brown spider monkeys</t>
  </si>
  <si>
    <t>Pouteria sp.</t>
  </si>
  <si>
    <t>Link et al. 2012</t>
  </si>
  <si>
    <t>San Juan, Colombia</t>
  </si>
  <si>
    <t>Ateles paniscus</t>
  </si>
  <si>
    <t xml:space="preserve">Glycydendron amazonicum </t>
  </si>
  <si>
    <t>Guillotin et al. 1994</t>
  </si>
  <si>
    <t>Saut Parare, French Guyana</t>
  </si>
  <si>
    <t xml:space="preserve">Atlantoxerus getulus </t>
  </si>
  <si>
    <t xml:space="preserve">Barbary ground squirrel </t>
  </si>
  <si>
    <t xml:space="preserve">Lycium intricatum </t>
  </si>
  <si>
    <t>Lopez-Dárias &amp; Nogales, 2008</t>
  </si>
  <si>
    <t>Fuerteventura Island, Spain</t>
  </si>
  <si>
    <t xml:space="preserve">Atlapetes citrinellus </t>
  </si>
  <si>
    <t xml:space="preserve">Yellow-striped brush-finch </t>
  </si>
  <si>
    <t>Alophyllus edulis</t>
  </si>
  <si>
    <t>Ruggera et al. 2014</t>
  </si>
  <si>
    <t>Austral Yungas, Argentina</t>
  </si>
  <si>
    <t>Auchenipterichthys longimanus</t>
  </si>
  <si>
    <t xml:space="preserve">Amazonian catfish </t>
  </si>
  <si>
    <t>Licania sp.</t>
  </si>
  <si>
    <t>Mannheimer et al. 2003</t>
  </si>
  <si>
    <t>Lake Batata, Brazil</t>
  </si>
  <si>
    <t xml:space="preserve">Axis porcinus </t>
  </si>
  <si>
    <t>Indian hog deer</t>
  </si>
  <si>
    <t>Acacia longifolia</t>
  </si>
  <si>
    <t>Davis et al. 2005</t>
  </si>
  <si>
    <t xml:space="preserve">Wilsons Promontory N.P., Australia </t>
  </si>
  <si>
    <t xml:space="preserve">Baillonius bailloni </t>
  </si>
  <si>
    <t xml:space="preserve">Saffron Toucanet </t>
  </si>
  <si>
    <t>Maytenus robusta</t>
  </si>
  <si>
    <t>Galleti et al. 2000</t>
  </si>
  <si>
    <t xml:space="preserve">Parque Estadual Intervales, Brazil </t>
  </si>
  <si>
    <t>Bison bison</t>
  </si>
  <si>
    <t>American bison</t>
  </si>
  <si>
    <t xml:space="preserve">Cephalanthus occidentalis </t>
  </si>
  <si>
    <t>Rosas et al. 2008</t>
  </si>
  <si>
    <t>Tallgrass Prairie Preserve, USA</t>
  </si>
  <si>
    <t>Bison bonasus</t>
  </si>
  <si>
    <t>European bison</t>
  </si>
  <si>
    <t>Malus domestica</t>
  </si>
  <si>
    <t>Jaroszewicz et al. 2009</t>
  </si>
  <si>
    <t>Białowieża, Poland</t>
  </si>
  <si>
    <t xml:space="preserve">Bombycilla cedrorum </t>
  </si>
  <si>
    <t>Cedar waxwing</t>
  </si>
  <si>
    <t>Prunus serotina</t>
  </si>
  <si>
    <t>Witmer 1996</t>
  </si>
  <si>
    <t>USA</t>
  </si>
  <si>
    <t>Bos gaurus</t>
  </si>
  <si>
    <t>Gaur</t>
  </si>
  <si>
    <t>Srinhara et al. 2016</t>
  </si>
  <si>
    <t>India</t>
  </si>
  <si>
    <t>Bos taurus</t>
  </si>
  <si>
    <t xml:space="preserve">Galloway cattle </t>
  </si>
  <si>
    <t>Ligustrum vulgare</t>
  </si>
  <si>
    <t>Cosyns et al. 2005</t>
  </si>
  <si>
    <t>Westhoek, Belgium</t>
  </si>
  <si>
    <t xml:space="preserve">Brachyteles arachnoides </t>
  </si>
  <si>
    <t>Southern muriqui</t>
  </si>
  <si>
    <t xml:space="preserve">Hymenaea courbaril </t>
  </si>
  <si>
    <t>Bradypus torquatus</t>
  </si>
  <si>
    <t>Maned sloth</t>
  </si>
  <si>
    <t>Cecropia hololeuca</t>
  </si>
  <si>
    <t>Chiarello 1998</t>
  </si>
  <si>
    <t>Atlantic Forest, Brazil</t>
  </si>
  <si>
    <t>Brycon amazonicus</t>
  </si>
  <si>
    <t>Yamu</t>
  </si>
  <si>
    <t>Calophyllum sp.</t>
  </si>
  <si>
    <t>Correa et al. 2005</t>
  </si>
  <si>
    <t>Caquetá, Colombia</t>
  </si>
  <si>
    <t>Brycon hilarii</t>
  </si>
  <si>
    <t>Piraputanga</t>
  </si>
  <si>
    <t>Pouteria glomerata</t>
  </si>
  <si>
    <t>Brycon melanopterus</t>
  </si>
  <si>
    <t>Amazonic tarpon</t>
  </si>
  <si>
    <t>Swartzia sp.</t>
  </si>
  <si>
    <t xml:space="preserve">Buceros bicornis </t>
  </si>
  <si>
    <t xml:space="preserve">Great hornbill </t>
  </si>
  <si>
    <t>Buceros rhinoceros</t>
  </si>
  <si>
    <t xml:space="preserve">Rhinoceros hornbill </t>
  </si>
  <si>
    <t>Buceros vigil</t>
  </si>
  <si>
    <t xml:space="preserve">Helmeted hornbill </t>
  </si>
  <si>
    <t>Horsfieldia tomentosa</t>
  </si>
  <si>
    <t xml:space="preserve">Bycanistes bucinator </t>
  </si>
  <si>
    <t xml:space="preserve">Trumpeter hornbills </t>
  </si>
  <si>
    <t>Lenz et al. 2011</t>
  </si>
  <si>
    <t>South Africa</t>
  </si>
  <si>
    <t>GPS tracking</t>
  </si>
  <si>
    <t>experimentos con lychees de unos 13 mm</t>
  </si>
  <si>
    <t>Cacajao melanocephalus</t>
  </si>
  <si>
    <t>Black-headed uacari</t>
  </si>
  <si>
    <t>Sloanea synandra</t>
  </si>
  <si>
    <t>Boubli 1999</t>
  </si>
  <si>
    <t>Cerro Neblina, Venezuela</t>
  </si>
  <si>
    <t>Callicebus coimbrai</t>
  </si>
  <si>
    <t>Titi monkey</t>
  </si>
  <si>
    <t>Protium heptaphyllum</t>
  </si>
  <si>
    <t>Baiao et al. 2015</t>
  </si>
  <si>
    <t>Trapsa &amp; Junco, Brazil</t>
  </si>
  <si>
    <t xml:space="preserve">Callosciurus erythraeus </t>
  </si>
  <si>
    <t>Pallas's squirrel</t>
  </si>
  <si>
    <t xml:space="preserve">Schinus molle </t>
  </si>
  <si>
    <t>Bobadilla et al. 2016</t>
  </si>
  <si>
    <t xml:space="preserve">Luján, Argentina </t>
  </si>
  <si>
    <t xml:space="preserve">Caluromys philander </t>
  </si>
  <si>
    <t>Bare-tailed woolly opossum</t>
  </si>
  <si>
    <t xml:space="preserve">Amaioua guianensis </t>
  </si>
  <si>
    <t>Lessa &amp; da Costa 2010</t>
  </si>
  <si>
    <t>Rio Preto, Brazil</t>
  </si>
  <si>
    <t>Camarhynchus parvulus</t>
  </si>
  <si>
    <t>Small tree finch</t>
  </si>
  <si>
    <t>Kyllingia breviflora</t>
  </si>
  <si>
    <t>Capra hircus</t>
  </si>
  <si>
    <t>Goat</t>
  </si>
  <si>
    <t xml:space="preserve">Capreolus capreolus </t>
  </si>
  <si>
    <t>Roe deer</t>
  </si>
  <si>
    <t xml:space="preserve">Vicia sativa </t>
  </si>
  <si>
    <t>Panter &amp; Dolman 2012</t>
  </si>
  <si>
    <t>Foxley Wood National N.R., England</t>
  </si>
  <si>
    <t>Carolia perspicillata</t>
  </si>
  <si>
    <t>Seba's short-tailed bat</t>
  </si>
  <si>
    <t xml:space="preserve">Carollia castanea </t>
  </si>
  <si>
    <t>Short-tailed fruit bat</t>
  </si>
  <si>
    <t>Cecropia angustifolia</t>
  </si>
  <si>
    <t xml:space="preserve">Carollia sowelli </t>
  </si>
  <si>
    <t>Sowell's short-tailed bat</t>
  </si>
  <si>
    <t xml:space="preserve">Senna quinquangulata </t>
  </si>
  <si>
    <t>Castro-Luna &amp; Galindo-González 2012</t>
  </si>
  <si>
    <t>Agua Blanca, México</t>
  </si>
  <si>
    <t>Casuarius casuarius</t>
  </si>
  <si>
    <t>Southern cassowary</t>
  </si>
  <si>
    <t>Entiandra microneura</t>
  </si>
  <si>
    <t>Stocker &amp; Irvine 1983, Wescott et al. 2005</t>
  </si>
  <si>
    <t>North Queensalnd, Austrailia</t>
  </si>
  <si>
    <t>Catharus aurantiirostris</t>
  </si>
  <si>
    <t>Orange-billed Nightingale-thrush</t>
  </si>
  <si>
    <t>Tournefortia bicolor</t>
  </si>
  <si>
    <t>Lindell et al. 2013</t>
  </si>
  <si>
    <t>Coto Brus, Costa Rica</t>
  </si>
  <si>
    <t>Cebus capucinus</t>
  </si>
  <si>
    <t>Capuchin monkey</t>
  </si>
  <si>
    <t>Ximenia americana</t>
  </si>
  <si>
    <t>Cephalophus callipygus</t>
  </si>
  <si>
    <t>Peter's duiker</t>
  </si>
  <si>
    <t>Antocaryon klaineanum</t>
  </si>
  <si>
    <t>Feer 1995</t>
  </si>
  <si>
    <t>Gabon</t>
  </si>
  <si>
    <t>Cephalophus dorsalis</t>
  </si>
  <si>
    <t>Bay duiker</t>
  </si>
  <si>
    <t>Gambeya beguei</t>
  </si>
  <si>
    <t>Cephalophus sylvicultor</t>
  </si>
  <si>
    <t>Yellow backed duiker</t>
  </si>
  <si>
    <t>Irvingia gabonensis</t>
  </si>
  <si>
    <t xml:space="preserve">Cephalopterus penduliger </t>
  </si>
  <si>
    <t xml:space="preserve">Long-wattled umbrellabird </t>
  </si>
  <si>
    <t xml:space="preserve">Otoba gordonifolia </t>
  </si>
  <si>
    <t>Karubian et al. 2012</t>
  </si>
  <si>
    <t>Bilsa Biological Station, Ecuador</t>
  </si>
  <si>
    <t>GPS</t>
  </si>
  <si>
    <t>promedio de medias</t>
  </si>
  <si>
    <t>Ceratogymna atrata</t>
  </si>
  <si>
    <t xml:space="preserve">Black-casqued hornbill </t>
  </si>
  <si>
    <t>Dacryodes edulis</t>
  </si>
  <si>
    <t>Holbrook &amp; Smith 2000; Whitney et al. 1998</t>
  </si>
  <si>
    <t xml:space="preserve">Dja Reserve, Cameroon </t>
  </si>
  <si>
    <t>Ceratogymna cylindricus</t>
  </si>
  <si>
    <t xml:space="preserve">White-thighed hornbill </t>
  </si>
  <si>
    <t>Ceratogymna fistulator</t>
  </si>
  <si>
    <t>Piping hornbill </t>
  </si>
  <si>
    <t xml:space="preserve">Canarium schweinfurthii </t>
  </si>
  <si>
    <t>Whitney et al. 1998</t>
  </si>
  <si>
    <t>Cercopithecus ascanius</t>
  </si>
  <si>
    <t xml:space="preserve">Redtail monkeys </t>
  </si>
  <si>
    <t>Prunus africana</t>
  </si>
  <si>
    <t>Farwig et al. 2006</t>
  </si>
  <si>
    <t xml:space="preserve">Kakamega Forest, Kenya </t>
  </si>
  <si>
    <t>Cercopithecus cephus</t>
  </si>
  <si>
    <r>
      <t>Moustached guenon</t>
    </r>
    <r>
      <rPr>
        <sz val="14"/>
        <color rgb="FF222222"/>
        <rFont val="Arial"/>
      </rPr>
      <t> </t>
    </r>
  </si>
  <si>
    <t>Vitex grandifolia</t>
  </si>
  <si>
    <t>Poulsen et al. 2001</t>
  </si>
  <si>
    <t>Cercopithecus l'hoesti</t>
  </si>
  <si>
    <t xml:space="preserve">Mountain monkey </t>
  </si>
  <si>
    <t>Canthium sp.</t>
  </si>
  <si>
    <t>Kaplin &amp; Moermond 1998</t>
  </si>
  <si>
    <t>Nyungwe Forest Reserve, Rwanda</t>
  </si>
  <si>
    <t>Cercopithecus lhoesti</t>
  </si>
  <si>
    <t>L'Hoest's monkeys</t>
  </si>
  <si>
    <r>
      <t xml:space="preserve">Canthium </t>
    </r>
    <r>
      <rPr>
        <sz val="10"/>
        <color theme="1"/>
        <rFont val="CenturySchlbk"/>
      </rPr>
      <t xml:space="preserve">sp. </t>
    </r>
  </si>
  <si>
    <t>Nyungwe N.F.R., Rwanda</t>
  </si>
  <si>
    <t>Cercopithecus mitis</t>
  </si>
  <si>
    <t xml:space="preserve">Blue monkey </t>
  </si>
  <si>
    <t>Cercopithecus nictitans</t>
  </si>
  <si>
    <t>White-nosed guenon</t>
  </si>
  <si>
    <t xml:space="preserve">Santiria trimera </t>
  </si>
  <si>
    <t>Chapman et al. 2010</t>
  </si>
  <si>
    <t>Ngel Nyaki F.R., Nigeria</t>
  </si>
  <si>
    <t>Cercopithecus petaurista</t>
  </si>
  <si>
    <t xml:space="preserve">White-nosed guenon </t>
  </si>
  <si>
    <t>Cercopithecus pogonias</t>
  </si>
  <si>
    <t xml:space="preserve">Crowned guenon </t>
  </si>
  <si>
    <t xml:space="preserve">Cerdocyon thous </t>
  </si>
  <si>
    <t xml:space="preserve">Crab-eating fox </t>
  </si>
  <si>
    <t xml:space="preserve">Allagoptera arenari </t>
  </si>
  <si>
    <t>Gatti et al. 2006</t>
  </si>
  <si>
    <t>Paulo Cesar Vinha State Park, Brazil</t>
  </si>
  <si>
    <t>Cervus elaphus</t>
  </si>
  <si>
    <t>Red deer</t>
  </si>
  <si>
    <t>Tilia cordata</t>
  </si>
  <si>
    <t>Jaroszewicz et al. 2013</t>
  </si>
  <si>
    <t xml:space="preserve">Cervus nippon </t>
  </si>
  <si>
    <t xml:space="preserve">Sika deer </t>
  </si>
  <si>
    <t>Diospyros japonica</t>
  </si>
  <si>
    <t>Yamashiro, A. &amp; Yamashiro, T. (2006</t>
  </si>
  <si>
    <t>Aka Island, Japan</t>
  </si>
  <si>
    <t>Cervus unicolor</t>
  </si>
  <si>
    <t>Sambar</t>
  </si>
  <si>
    <t xml:space="preserve">Spondias pinnata </t>
  </si>
  <si>
    <t>Chamaepetes unicolor</t>
  </si>
  <si>
    <t>Black guan</t>
  </si>
  <si>
    <t>Beilschmiedia pendula</t>
  </si>
  <si>
    <t>Wheelwright et al. 1984 sensu Wenny 2000</t>
  </si>
  <si>
    <t>Costa Rica</t>
  </si>
  <si>
    <t xml:space="preserve">Cheirogaleus major </t>
  </si>
  <si>
    <t>Greater dwarf lemurs</t>
  </si>
  <si>
    <t>Cryptocarya sp.</t>
  </si>
  <si>
    <t>Lahann 2007</t>
  </si>
  <si>
    <t>Mandena, Madagascar</t>
  </si>
  <si>
    <t xml:space="preserve">Cheirogaleus medius </t>
  </si>
  <si>
    <t>Fat-tailed dwarf lemur</t>
  </si>
  <si>
    <t>Erythroxylon sp.</t>
  </si>
  <si>
    <t>Chelonoides denticulata</t>
  </si>
  <si>
    <t>Amazoniana tortoise</t>
  </si>
  <si>
    <t>Astrocaryum murumuru</t>
  </si>
  <si>
    <t>Guzman &amp; Stevenson 2008; Jerozolimski et al. 2009</t>
  </si>
  <si>
    <t>Los Amigos, Perú; Kayapo ́ village, Brazil</t>
  </si>
  <si>
    <t>Field data and telemetry</t>
  </si>
  <si>
    <t xml:space="preserve">Chelonoidis chilensis </t>
  </si>
  <si>
    <t>Chaco tortoise</t>
  </si>
  <si>
    <t xml:space="preserve">Ziziphus mistol </t>
  </si>
  <si>
    <t>Varela &amp; Bucher 2002a</t>
  </si>
  <si>
    <t>Dry Chaco, Argentina</t>
  </si>
  <si>
    <t>Chelonoidis porteri</t>
  </si>
  <si>
    <t>Galapagos tortoise</t>
  </si>
  <si>
    <t>Hippomane mancinella</t>
  </si>
  <si>
    <t>Blake et al. 2015, 2012</t>
  </si>
  <si>
    <t xml:space="preserve">Chiroxiphia boliviana </t>
  </si>
  <si>
    <t>Yungas manakin</t>
  </si>
  <si>
    <t xml:space="preserve">Tapirira guianensis </t>
  </si>
  <si>
    <t>Montaño-Centellas 2012</t>
  </si>
  <si>
    <t>Tunquini Biological Station, Bolivia</t>
  </si>
  <si>
    <t xml:space="preserve">Chlorocebus tantalus </t>
  </si>
  <si>
    <t>Vervet monkey</t>
  </si>
  <si>
    <t xml:space="preserve">Landolphia spp. </t>
  </si>
  <si>
    <t>Agmen et al. 2009</t>
  </si>
  <si>
    <t>Ngel Nyaki Forest, Nigeria</t>
  </si>
  <si>
    <t xml:space="preserve">Chlorospingus ophthalmicus </t>
  </si>
  <si>
    <t>Common bush-tanager</t>
  </si>
  <si>
    <t>Cinnamomum porphyrium</t>
  </si>
  <si>
    <t>Blendinger et al. 2015</t>
  </si>
  <si>
    <t>Sierra de San Javier, Argentina</t>
  </si>
  <si>
    <t xml:space="preserve">Chrysetnys picta </t>
  </si>
  <si>
    <t xml:space="preserve">Eastem painted turtle </t>
  </si>
  <si>
    <t>Nuphar lutea</t>
  </si>
  <si>
    <t>Padgett et al. 2010</t>
  </si>
  <si>
    <t xml:space="preserve">Carver Pond, MA., USA </t>
  </si>
  <si>
    <t xml:space="preserve">Chrysocyon brachyurus </t>
  </si>
  <si>
    <t>Maned wolf </t>
  </si>
  <si>
    <t>Syagrus romazoffianum</t>
  </si>
  <si>
    <t>Bueno &amp; Motta-Junior  2009</t>
  </si>
  <si>
    <t>Itapetininga, Brazil</t>
  </si>
  <si>
    <t xml:space="preserve">Cinnyricinclus leucogaster </t>
  </si>
  <si>
    <t>Violet-backed starling</t>
  </si>
  <si>
    <t>Civettictis civetta</t>
  </si>
  <si>
    <t>African civet</t>
  </si>
  <si>
    <t>Penje 1994</t>
  </si>
  <si>
    <t>Mayombe, Zaire</t>
  </si>
  <si>
    <t>Cleptornis marchei</t>
  </si>
  <si>
    <t>Golden white‐eye</t>
  </si>
  <si>
    <t xml:space="preserve">Planchonella obovata </t>
  </si>
  <si>
    <t>Colaptes pitius</t>
  </si>
  <si>
    <t>Chilean flicker</t>
  </si>
  <si>
    <t>Schinus polygamus</t>
  </si>
  <si>
    <t>Reid &amp; Armesto 2011</t>
  </si>
  <si>
    <t>Mediterranean shrubland, Chile</t>
  </si>
  <si>
    <t xml:space="preserve">Colobus guereza </t>
  </si>
  <si>
    <t>Black-and-white colobus</t>
  </si>
  <si>
    <t>Colorhamphus parvirostris</t>
  </si>
  <si>
    <t>Patagonian tyrant</t>
  </si>
  <si>
    <t>Maytenus boaria</t>
  </si>
  <si>
    <t xml:space="preserve">Colossoma macropomum </t>
  </si>
  <si>
    <t>Tambaqui</t>
  </si>
  <si>
    <t>Astrocaryum jauari</t>
  </si>
  <si>
    <t>Lucas 2008, Anderson et al. 2011</t>
  </si>
  <si>
    <t>Santarém, Brazil; Pacaya-Samiria, Peru</t>
  </si>
  <si>
    <t xml:space="preserve">Connochaetes taurinus </t>
  </si>
  <si>
    <t xml:space="preserve">Wildebeest </t>
  </si>
  <si>
    <t xml:space="preserve">Romulea rosea </t>
  </si>
  <si>
    <t>Shiponeni &amp; Milton 2006</t>
  </si>
  <si>
    <t>Western Cape Province, South Africa</t>
  </si>
  <si>
    <t>Conolophus subcristatus</t>
  </si>
  <si>
    <t>Galapagos land iguana</t>
  </si>
  <si>
    <t>Solanum lycopersicum</t>
  </si>
  <si>
    <t xml:space="preserve">Coracopsis nigra </t>
  </si>
  <si>
    <t xml:space="preserve">Lesser vasa parrot </t>
  </si>
  <si>
    <t xml:space="preserve">Commiphora guillaumini </t>
  </si>
  <si>
    <t>Böhning-Gaese et al. 1999</t>
  </si>
  <si>
    <t>Kirindy, Madagascar</t>
  </si>
  <si>
    <t>Corvus corax</t>
  </si>
  <si>
    <t>Raven</t>
  </si>
  <si>
    <t>Laurus azorica</t>
  </si>
  <si>
    <t>Nogales &amp; Hernandez 1994</t>
  </si>
  <si>
    <t>Canarian Archipelago, Spain</t>
  </si>
  <si>
    <t xml:space="preserve">Corvus frugilegus </t>
  </si>
  <si>
    <t>Rook</t>
  </si>
  <si>
    <t>Cornus alba</t>
  </si>
  <si>
    <t>Czarnecka &amp; Kitowski 2010</t>
  </si>
  <si>
    <t>Eastern Poland</t>
  </si>
  <si>
    <t>Corvus macrorhynchos</t>
  </si>
  <si>
    <t>Large-billed crow</t>
  </si>
  <si>
    <t>Magnolia obovata</t>
  </si>
  <si>
    <t>Nishi &amp; Tsuyuzaki 2004</t>
  </si>
  <si>
    <t>Mount Koma, Japan</t>
  </si>
  <si>
    <t>Corythaeola cristata</t>
  </si>
  <si>
    <t xml:space="preserve">Great blue turaco </t>
  </si>
  <si>
    <t xml:space="preserve">Stromboscia scheffleri </t>
  </si>
  <si>
    <t>Sun et al. 1997</t>
  </si>
  <si>
    <t>Crotophaga ani</t>
  </si>
  <si>
    <t>Smooth-billed ani</t>
  </si>
  <si>
    <t>Tournefortia rufosericea</t>
  </si>
  <si>
    <t xml:space="preserve">Ctenosaura hemilopha </t>
  </si>
  <si>
    <t xml:space="preserve">Spiny-tailed iguana </t>
  </si>
  <si>
    <t>Cyrtocarpa edulis</t>
  </si>
  <si>
    <t>Blázqeuz &amp; Rodriguez 2007</t>
  </si>
  <si>
    <t>La Pax, Baja California, Mexico</t>
  </si>
  <si>
    <t>Ctenosaura similis</t>
  </si>
  <si>
    <t>Black spiny-tailed iguana</t>
  </si>
  <si>
    <t>Spondias purpurea</t>
  </si>
  <si>
    <t>Traveset 1990</t>
  </si>
  <si>
    <t>Santa Rosa N.P, Costa Rica</t>
  </si>
  <si>
    <t>Cyanistes teneriffae</t>
  </si>
  <si>
    <t>Canary Island blue tit</t>
  </si>
  <si>
    <t>Rubus ulmifolius</t>
  </si>
  <si>
    <t>González-Castro et al. 2013b</t>
  </si>
  <si>
    <t>Tenerife, Spain</t>
  </si>
  <si>
    <t xml:space="preserve">Cygnus atratus </t>
  </si>
  <si>
    <t>Black swan</t>
  </si>
  <si>
    <t xml:space="preserve">Polygonum arenastrum </t>
  </si>
  <si>
    <t>Green et al. 2008</t>
  </si>
  <si>
    <t>Ducula badia</t>
  </si>
  <si>
    <t>Mountain imperial pigeon</t>
  </si>
  <si>
    <t>Mastixia pentranda</t>
  </si>
  <si>
    <t>Sankamethawee et al. 2011</t>
  </si>
  <si>
    <t>Dama dama</t>
  </si>
  <si>
    <t xml:space="preserve">Fallow deer </t>
  </si>
  <si>
    <t>Triticum spp.</t>
  </si>
  <si>
    <t xml:space="preserve">Didelphis albiventris </t>
  </si>
  <si>
    <t xml:space="preserve">White-eared opossum </t>
  </si>
  <si>
    <t>Passiflora sp.</t>
  </si>
  <si>
    <t>Cáceres 2002</t>
  </si>
  <si>
    <t>Curitiba, Brazil</t>
  </si>
  <si>
    <t>Diplothrix legata</t>
  </si>
  <si>
    <t>Ryukyu long-furred rat</t>
  </si>
  <si>
    <t>Oreocnide pedunculata</t>
  </si>
  <si>
    <t>Nago et al. 2019</t>
  </si>
  <si>
    <t>Okinawajima Island, Japan</t>
  </si>
  <si>
    <t>Dromaius novaehollandiae</t>
  </si>
  <si>
    <t>Emu</t>
  </si>
  <si>
    <t>Macrozamia fraseri</t>
  </si>
  <si>
    <r>
      <t>Calviño</t>
    </r>
    <r>
      <rPr>
        <sz val="10"/>
        <color rgb="FF222222"/>
        <rFont val="Calibri"/>
        <scheme val="minor"/>
      </rPr>
      <t>‐</t>
    </r>
    <r>
      <rPr>
        <sz val="10"/>
        <color rgb="FF222222"/>
        <rFont val="Arial"/>
      </rPr>
      <t>Cancela et al. 2006, Nield et al. 2020</t>
    </r>
  </si>
  <si>
    <t>Western Australia</t>
  </si>
  <si>
    <t xml:space="preserve">Dromiciops gliroides </t>
  </si>
  <si>
    <t>Colocolo opossum</t>
  </si>
  <si>
    <t xml:space="preserve">Myoschilos oblongum </t>
  </si>
  <si>
    <t>Amico et al. 2009</t>
  </si>
  <si>
    <t>Llao-Llao Reserve, Argentina</t>
  </si>
  <si>
    <t>Ducula pacifica</t>
  </si>
  <si>
    <t>Pacific pigeons</t>
  </si>
  <si>
    <t>Myristica hypagyrarea</t>
  </si>
  <si>
    <t>McConkey 2000</t>
  </si>
  <si>
    <t>Vava'u Island, Tonga</t>
  </si>
  <si>
    <t>Ducula spilorrhoa</t>
  </si>
  <si>
    <t>Torresian imperial pigeon</t>
  </si>
  <si>
    <t>Myristica castanaefolia</t>
  </si>
  <si>
    <t>Wood 1924</t>
  </si>
  <si>
    <t xml:space="preserve">Vunisea, Kandavu </t>
  </si>
  <si>
    <t xml:space="preserve">Eidolon dupreanum </t>
  </si>
  <si>
    <t>Madagascan fruit bat</t>
  </si>
  <si>
    <t>Polyscias sp.</t>
  </si>
  <si>
    <t>Picot et al. 2007</t>
  </si>
  <si>
    <t>Ranomafana &amp; Andringitra NPs, Madagascar</t>
  </si>
  <si>
    <t>Eidolon helvum</t>
  </si>
  <si>
    <t>Straw-coloured fruit bat</t>
  </si>
  <si>
    <t>Garcinia buchananii</t>
  </si>
  <si>
    <t>Webala et al. 2014, Abedi-Lartey et al. 2016</t>
  </si>
  <si>
    <t xml:space="preserve">Southern Ghana </t>
  </si>
  <si>
    <t>Elaenia albiceps</t>
  </si>
  <si>
    <t>White-crested Elaenia</t>
  </si>
  <si>
    <t>Elaenia flavogaster</t>
  </si>
  <si>
    <t xml:space="preserve">Yellow-bellied Elaenia </t>
  </si>
  <si>
    <t>Lantana camara</t>
  </si>
  <si>
    <t>Elaenia sptrepera</t>
  </si>
  <si>
    <t>Slaty elaenia</t>
  </si>
  <si>
    <t xml:space="preserve">Blepharocalyx salicifoius </t>
  </si>
  <si>
    <t>Elephas maximus</t>
  </si>
  <si>
    <t>Asian elephant</t>
  </si>
  <si>
    <t>Spondias pinnata</t>
  </si>
  <si>
    <t>Kitamura et al. 2007</t>
  </si>
  <si>
    <t>Khao Yai National Park, Thailand</t>
  </si>
  <si>
    <t>Equus africanus</t>
  </si>
  <si>
    <t>Donkey</t>
  </si>
  <si>
    <t>Vicia cracca</t>
  </si>
  <si>
    <t>Couvreur et al. 2005</t>
  </si>
  <si>
    <t>Houtsaegerduinen, Belgium</t>
  </si>
  <si>
    <t xml:space="preserve">Equus burchelli </t>
  </si>
  <si>
    <t>Zebra</t>
  </si>
  <si>
    <t>Equus caballus</t>
  </si>
  <si>
    <t>Horse</t>
  </si>
  <si>
    <t>Eulemur fulvus</t>
  </si>
  <si>
    <t>Brown lemur</t>
  </si>
  <si>
    <t>Astrotrichilia asterotricha</t>
  </si>
  <si>
    <t>Sato 2012, 2018</t>
  </si>
  <si>
    <t>Ankarafantsika NP, Madagascar</t>
  </si>
  <si>
    <t>Eulemur macaco</t>
  </si>
  <si>
    <t>Black lemur</t>
  </si>
  <si>
    <t xml:space="preserve">Diospyros clusiifolia </t>
  </si>
  <si>
    <t>Birkinshaw 2008</t>
  </si>
  <si>
    <t>Lokobe forest, Madagascar</t>
  </si>
  <si>
    <r>
      <t>Eulemur rubriventer</t>
    </r>
    <r>
      <rPr>
        <sz val="10"/>
        <color theme="1"/>
        <rFont val="AdvTTcb1ba73f.I"/>
      </rPr>
      <t/>
    </r>
  </si>
  <si>
    <t>Red bellied lemur</t>
  </si>
  <si>
    <t>Ravensara sp.</t>
  </si>
  <si>
    <t>Dew &amp; Wright 1998, Razafindratsima et al. 2015</t>
  </si>
  <si>
    <t>Ranomafana NP, Madagascar</t>
  </si>
  <si>
    <t>Eulemur rufrifrons</t>
  </si>
  <si>
    <t>Red fronted brown lemur</t>
  </si>
  <si>
    <t xml:space="preserve">Cryptocarya crassifolia </t>
  </si>
  <si>
    <t>Razafindratsima et al. 2015</t>
  </si>
  <si>
    <t>Euphonia cyanocephala</t>
  </si>
  <si>
    <t>Golden-rumped Euphonia</t>
  </si>
  <si>
    <t>Eugenia uniflora</t>
  </si>
  <si>
    <t>Euphractus sexcinctus</t>
  </si>
  <si>
    <t>Yellow armadillo</t>
  </si>
  <si>
    <t>Hancornia speciosa</t>
  </si>
  <si>
    <t>Dalponte &amp; Tavares-Filho 2004</t>
  </si>
  <si>
    <t>Northeastern São Paulo, Brazil</t>
  </si>
  <si>
    <t xml:space="preserve">Fulica atra </t>
  </si>
  <si>
    <t xml:space="preserve">Eurasian coot </t>
  </si>
  <si>
    <t xml:space="preserve">Typha orientalis </t>
  </si>
  <si>
    <t xml:space="preserve">Gallirallus australis </t>
  </si>
  <si>
    <t>Weka</t>
  </si>
  <si>
    <t xml:space="preserve">Elaeocarpus dentatus </t>
  </si>
  <si>
    <t>Carpenter et al. 2019</t>
  </si>
  <si>
    <t>Willowbank Wildlife Reserve, New Zeland</t>
  </si>
  <si>
    <t>large Gut Ret Time</t>
  </si>
  <si>
    <t xml:space="preserve">Gallotia atlantica </t>
  </si>
  <si>
    <t>Atlantic lizard</t>
  </si>
  <si>
    <t>Gallotia galloti</t>
  </si>
  <si>
    <t>Wall lizard</t>
  </si>
  <si>
    <t>Opuntia dillenii</t>
  </si>
  <si>
    <t>Valido &amp; Nogales 1994</t>
  </si>
  <si>
    <t>Islas Canarias</t>
  </si>
  <si>
    <t>Gallotia stehlini</t>
  </si>
  <si>
    <t>Gran Canaria giant lizard</t>
  </si>
  <si>
    <t>Phoenix canariensis</t>
  </si>
  <si>
    <t>González-Castro et al. 2012</t>
  </si>
  <si>
    <t>Southern Spain</t>
  </si>
  <si>
    <t>Gazella bennettii</t>
  </si>
  <si>
    <t>Indian gazelle</t>
  </si>
  <si>
    <t>Prosopis cineraria</t>
  </si>
  <si>
    <t>Dookia &amp; Jakher 2007</t>
  </si>
  <si>
    <t>Thar Desert of Rajasthan</t>
  </si>
  <si>
    <t>Geneta genetta</t>
  </si>
  <si>
    <t>Common genet</t>
  </si>
  <si>
    <t>Olea europea</t>
  </si>
  <si>
    <t>Rosalino et al. 2010</t>
  </si>
  <si>
    <t xml:space="preserve">Serra de Grândola, Portugal </t>
  </si>
  <si>
    <t>Geospiza fortis</t>
  </si>
  <si>
    <t>Medium ground finch</t>
  </si>
  <si>
    <t>Memordica charantia</t>
  </si>
  <si>
    <t xml:space="preserve">Giraffa camelopardalis </t>
  </si>
  <si>
    <t>Giraffe</t>
  </si>
  <si>
    <t xml:space="preserve">Acacia erioloba </t>
  </si>
  <si>
    <t xml:space="preserve">Glossophaga soricina </t>
  </si>
  <si>
    <t>Pallas's long-tongued bat </t>
  </si>
  <si>
    <t xml:space="preserve">Coussapoa oligocephala </t>
  </si>
  <si>
    <t>Gopheros polyphemus</t>
  </si>
  <si>
    <t>Gopher tortoise</t>
  </si>
  <si>
    <t>Geobalanus oblongifolius</t>
  </si>
  <si>
    <t>Birkhead et al. 2005</t>
  </si>
  <si>
    <t>Gorgia, USA</t>
  </si>
  <si>
    <t>Gorilla gorilla</t>
  </si>
  <si>
    <t>Western gorilla</t>
  </si>
  <si>
    <t>Cola lizae</t>
  </si>
  <si>
    <t>Tutin et al. 1991</t>
  </si>
  <si>
    <t xml:space="preserve">Lope Reserve, Gabon </t>
  </si>
  <si>
    <t>Gracilinanus agilis</t>
  </si>
  <si>
    <t>Agile opossum</t>
  </si>
  <si>
    <t xml:space="preserve">Psychotria barbiflora </t>
  </si>
  <si>
    <t>Helarctos malayanus</t>
  </si>
  <si>
    <t>Sun bear</t>
  </si>
  <si>
    <t>Canarium pilosum</t>
  </si>
  <si>
    <t>McConkey &amp; Galetti 1999</t>
  </si>
  <si>
    <t>Rekut camp, Indonesia</t>
  </si>
  <si>
    <t xml:space="preserve">Hemideina crassidens </t>
  </si>
  <si>
    <t xml:space="preserve">Wellington tree weta </t>
  </si>
  <si>
    <t xml:space="preserve">Fuchsia excorticata </t>
  </si>
  <si>
    <t>King et al. 2011</t>
  </si>
  <si>
    <t>Karori Wildlife Sanctuary, New Zeland</t>
  </si>
  <si>
    <t xml:space="preserve">Hemiphaga novaeseelandiae </t>
  </si>
  <si>
    <t xml:space="preserve">New Zealand pigeon </t>
  </si>
  <si>
    <t xml:space="preserve">Beilschmiedia tarairi </t>
  </si>
  <si>
    <t>McEwen 1978, Wotton &amp; Kelly 2012</t>
  </si>
  <si>
    <t xml:space="preserve">Central North Island &amp; Taranaki, New Zeland </t>
  </si>
  <si>
    <t xml:space="preserve">Herpestes ichneumon </t>
  </si>
  <si>
    <t>Egyptian mangoose</t>
  </si>
  <si>
    <t xml:space="preserve">Pyrus bourgaeana </t>
  </si>
  <si>
    <t xml:space="preserve">Hoplodactylus maculatus </t>
  </si>
  <si>
    <t>New Zealand gecko</t>
  </si>
  <si>
    <t>Coprosma propinqua</t>
  </si>
  <si>
    <t>Whitaker 1987, Wotton 2002</t>
  </si>
  <si>
    <t>New Zeland</t>
  </si>
  <si>
    <t>Hylobates lar</t>
  </si>
  <si>
    <t>White‐handed gibbons</t>
  </si>
  <si>
    <t xml:space="preserve">Mangifera caloneura </t>
  </si>
  <si>
    <t>Phiphatsuwannachai et al. 2018</t>
  </si>
  <si>
    <t>Huai Kha Khaeng W. S., Thailand</t>
  </si>
  <si>
    <t>Hylobates mulleri x agilis</t>
  </si>
  <si>
    <t>Gibbons</t>
  </si>
  <si>
    <t>Xanthophyllum amoenum</t>
  </si>
  <si>
    <t>McConkey et al. 2005</t>
  </si>
  <si>
    <t>Barito Ulu, Borneo</t>
  </si>
  <si>
    <t>Behaviour</t>
  </si>
  <si>
    <t>Hylobates pileatus</t>
  </si>
  <si>
    <t>Pileated gibbon</t>
  </si>
  <si>
    <t xml:space="preserve">Hypsipetes amaurotis </t>
  </si>
  <si>
    <t>Brown-eared bulbul</t>
  </si>
  <si>
    <t>Myrica rubra</t>
  </si>
  <si>
    <t>Noma &amp; Yumoto 1997</t>
  </si>
  <si>
    <t>Yakushima Island, Japan</t>
  </si>
  <si>
    <t>Iguana iguana</t>
  </si>
  <si>
    <t>Green iguana</t>
  </si>
  <si>
    <t>Protium sp.</t>
  </si>
  <si>
    <t>de Moura et al. 2015</t>
  </si>
  <si>
    <t>Universidade Federal da Paraiba, Brazil</t>
  </si>
  <si>
    <t>Irena puella</t>
  </si>
  <si>
    <t>Asian fairy-bluebird</t>
  </si>
  <si>
    <t xml:space="preserve">Dysoxylum binectariferum </t>
  </si>
  <si>
    <t>Seith &amp; Howe 2012</t>
  </si>
  <si>
    <t>Pakke Tiger Reserve, India</t>
  </si>
  <si>
    <t xml:space="preserve">Kinosternon hirtipes </t>
  </si>
  <si>
    <t>Rough-footed Mud Turtle</t>
  </si>
  <si>
    <t>Prosopis glandulosa</t>
  </si>
  <si>
    <t>Platt et al. 2016</t>
  </si>
  <si>
    <t>Texas, USA</t>
  </si>
  <si>
    <t>Lagothrix flavicauda</t>
  </si>
  <si>
    <t>Yellow tailed woolly monkey</t>
  </si>
  <si>
    <t>Anomospermum sp.</t>
  </si>
  <si>
    <t xml:space="preserve">Hernandez &amp; Shanee, pers. comm. </t>
  </si>
  <si>
    <t>Alto Mayo, Perú</t>
  </si>
  <si>
    <t>Lagothrix lagothricha</t>
  </si>
  <si>
    <t>Woolly monkey</t>
  </si>
  <si>
    <t>Tontelea sp.</t>
  </si>
  <si>
    <t>Stevenson et al. 2005, Ramirez et al. 2014</t>
  </si>
  <si>
    <t>Tinigua NP</t>
  </si>
  <si>
    <t>Abortive seeds of Samanea</t>
  </si>
  <si>
    <t xml:space="preserve">Leontopithecus chrysomelas </t>
  </si>
  <si>
    <t xml:space="preserve">Golden-headed lion tamarin </t>
  </si>
  <si>
    <t xml:space="preserve">Cheiloclinium cognatum </t>
  </si>
  <si>
    <t>Cardoso et al. 2011</t>
  </si>
  <si>
    <t xml:space="preserve">Una Biological Reserve, Brazil </t>
  </si>
  <si>
    <t>Leontopithecus rosalia</t>
  </si>
  <si>
    <t>Golden lion tamarin</t>
  </si>
  <si>
    <t xml:space="preserve">Abuta sellowiana </t>
  </si>
  <si>
    <t>Dietz et al. 1997</t>
  </si>
  <si>
    <t>Reserva Biológica de Poço das Antas, Brazil</t>
  </si>
  <si>
    <t xml:space="preserve">Lepus europaeus </t>
  </si>
  <si>
    <t xml:space="preserve">European Brown Hares </t>
  </si>
  <si>
    <t xml:space="preserve">Lepus saxatilis </t>
  </si>
  <si>
    <t>Scrub hare</t>
  </si>
  <si>
    <t xml:space="preserve">Galenia fruticosa </t>
  </si>
  <si>
    <t>Liolaemus pictus</t>
  </si>
  <si>
    <t>Chilean lizard</t>
  </si>
  <si>
    <t>Nertera granadensis</t>
  </si>
  <si>
    <t>Willson et al. 1996</t>
  </si>
  <si>
    <t>Drylands, Chile</t>
  </si>
  <si>
    <r>
      <t>Liopholis guthega</t>
    </r>
    <r>
      <rPr>
        <sz val="12"/>
        <color theme="1"/>
        <rFont val="Times New Roman"/>
      </rPr>
      <t xml:space="preserve"> </t>
    </r>
  </si>
  <si>
    <t>Guthega skink</t>
  </si>
  <si>
    <t>Melicytus dentatus</t>
  </si>
  <si>
    <t>Atkins et al. 2018</t>
  </si>
  <si>
    <t>New South Wales, Australia</t>
  </si>
  <si>
    <t>Lithodoras dorsalis</t>
  </si>
  <si>
    <t>Bottom dwelling catfish</t>
  </si>
  <si>
    <t>Kubitzki &amp; Kubitzki 1994</t>
  </si>
  <si>
    <t>Central Amazonia, Brazil</t>
  </si>
  <si>
    <t>Lophocebus albigena</t>
  </si>
  <si>
    <t>Gray cheeked mangabey</t>
  </si>
  <si>
    <t>Loxodonta africana</t>
  </si>
  <si>
    <t>African Elephant</t>
  </si>
  <si>
    <t>Mammea africana, Balanites wilsoniana, Pandus sp.</t>
  </si>
  <si>
    <t>Yumoto &amp; Maruhashi 1995, Lieberman et al. 1987, Feer 1995, Lieberman et al. 1987</t>
  </si>
  <si>
    <t>Kahuzi-Biega NP, Zaire</t>
  </si>
  <si>
    <t>Lumbricus terrestris</t>
  </si>
  <si>
    <t>European earthworm</t>
  </si>
  <si>
    <t>Ambrosia trifida</t>
  </si>
  <si>
    <t>Regnier et al. 2008</t>
  </si>
  <si>
    <t>Ohio, USA</t>
  </si>
  <si>
    <t xml:space="preserve">Lycalopex gymnocercus </t>
  </si>
  <si>
    <t xml:space="preserve">Pampas fox </t>
  </si>
  <si>
    <t xml:space="preserve">Geoffroea decorticans </t>
  </si>
  <si>
    <t>Varela et al. 2008</t>
  </si>
  <si>
    <t>Chaco woodland, Argentina</t>
  </si>
  <si>
    <t>Macaca cyclopis</t>
  </si>
  <si>
    <t>Formosan rock macaques</t>
  </si>
  <si>
    <t>Chen 2002</t>
  </si>
  <si>
    <t>Fusan Experimental Forest, Taiwan</t>
  </si>
  <si>
    <t>Macaca fascicularis</t>
  </si>
  <si>
    <t>Long tailed macaque</t>
  </si>
  <si>
    <t xml:space="preserve">Leuconotis griffithii </t>
  </si>
  <si>
    <t>Lucas &amp; Corlett 1998</t>
  </si>
  <si>
    <t>Bukit Timah, Singapore</t>
  </si>
  <si>
    <t>Macaca fuscata</t>
  </si>
  <si>
    <t>Japanese macaques</t>
  </si>
  <si>
    <t xml:space="preserve">Diospyros lotus </t>
  </si>
  <si>
    <t>Tsuji et al. 2011a</t>
  </si>
  <si>
    <t>Yakushima, Japan</t>
  </si>
  <si>
    <t>Macaca leonina</t>
  </si>
  <si>
    <t>Pigtailed macaque</t>
  </si>
  <si>
    <t>Garcinia benthamii</t>
  </si>
  <si>
    <t>Albert et al. 2013</t>
  </si>
  <si>
    <t>Khao Yai NP, Thailand</t>
  </si>
  <si>
    <t>Macaca mulatta</t>
  </si>
  <si>
    <t>Rhesus macaques</t>
  </si>
  <si>
    <t>Tsuji et al. 2013</t>
  </si>
  <si>
    <t xml:space="preserve">Son Tra, Viet Nam </t>
  </si>
  <si>
    <t>Macaca nemestrina</t>
  </si>
  <si>
    <t>Pigtail macaque</t>
  </si>
  <si>
    <t>Macroclemys temminckii</t>
  </si>
  <si>
    <t>Alligator snapping turtle</t>
  </si>
  <si>
    <t>Carya illinoensis</t>
  </si>
  <si>
    <t>Sloan et al. 1996</t>
  </si>
  <si>
    <t>Louisiana, USA</t>
  </si>
  <si>
    <t xml:space="preserve">Manacus manacus </t>
  </si>
  <si>
    <t xml:space="preserve">White-beaded manakin </t>
  </si>
  <si>
    <t>Eugenia sulcata</t>
  </si>
  <si>
    <t>Cestari &amp; Pizo 2013</t>
  </si>
  <si>
    <t xml:space="preserve">Itanhaém, Peruíbe, &amp; Juréia Itatins, Brazil </t>
  </si>
  <si>
    <t>Mandrillus leucophaeus</t>
  </si>
  <si>
    <t>Drill</t>
  </si>
  <si>
    <t>Trichoscypha acuminata</t>
  </si>
  <si>
    <t>Astaras &amp; Waltert 2010</t>
  </si>
  <si>
    <t>Korup National Park, Cameroon</t>
  </si>
  <si>
    <t>Marmosops incanus</t>
  </si>
  <si>
    <t>Gray slender mouse opossum</t>
  </si>
  <si>
    <t>Marmosops paulensis</t>
  </si>
  <si>
    <t>Brazilian slender opossum</t>
  </si>
  <si>
    <t>Psidium cattleyanum</t>
  </si>
  <si>
    <t>Leiner &amp; Silva 2007</t>
  </si>
  <si>
    <t>Intervales, Brazil</t>
  </si>
  <si>
    <t>Marten flavigula</t>
  </si>
  <si>
    <t xml:space="preserve">Yellow-throated marten </t>
  </si>
  <si>
    <t>Diospyros lotus</t>
  </si>
  <si>
    <t>Zhou et al. 2008b</t>
  </si>
  <si>
    <t xml:space="preserve">Hubei Houhe N.N.R. </t>
  </si>
  <si>
    <t>Martes americana</t>
  </si>
  <si>
    <t>American marten</t>
  </si>
  <si>
    <t>Rubus spectabilis</t>
  </si>
  <si>
    <t>Hickey et al. 1999</t>
  </si>
  <si>
    <t>Alaska, USA</t>
  </si>
  <si>
    <t xml:space="preserve">Martes foina </t>
  </si>
  <si>
    <t>Stone marten</t>
  </si>
  <si>
    <t>Prunus communis</t>
  </si>
  <si>
    <t>Bakaloudis et al. 2012, Herrera et al. 2015</t>
  </si>
  <si>
    <t>Central Greece; Alentejo, Portugal</t>
  </si>
  <si>
    <t>Martes martes</t>
  </si>
  <si>
    <t>Pine marten</t>
  </si>
  <si>
    <t xml:space="preserve">Prunus domestica </t>
  </si>
  <si>
    <t>Schaumann &amp; Heinken 2002</t>
  </si>
  <si>
    <t>Brandenburg, Germany</t>
  </si>
  <si>
    <t>Seed mimics</t>
  </si>
  <si>
    <t xml:space="preserve">Martes melampus </t>
  </si>
  <si>
    <t>Japanese marten</t>
  </si>
  <si>
    <t>Torreya nucifera</t>
  </si>
  <si>
    <t>Koike &amp; Masaki 2019</t>
  </si>
  <si>
    <t xml:space="preserve">Mt. Fuji, central Japan </t>
  </si>
  <si>
    <t>Radio tracking</t>
  </si>
  <si>
    <t>Mazama americana</t>
  </si>
  <si>
    <t>Red brocket deer</t>
  </si>
  <si>
    <t>Rubiaceae</t>
  </si>
  <si>
    <t>Bodmer 1991</t>
  </si>
  <si>
    <t>Iquitos, Peru</t>
  </si>
  <si>
    <t>Megalaima faiostricta</t>
  </si>
  <si>
    <t>Green eared barbet</t>
  </si>
  <si>
    <t>Litsea monopetala</t>
  </si>
  <si>
    <t xml:space="preserve">Megalaima nuchalis </t>
  </si>
  <si>
    <t xml:space="preserve">Taiwan barbets </t>
  </si>
  <si>
    <t>Machilus japonica</t>
  </si>
  <si>
    <t>Chang et al. 2012</t>
  </si>
  <si>
    <t xml:space="preserve">Kenting, Taiwan </t>
  </si>
  <si>
    <t xml:space="preserve">Meles meles </t>
  </si>
  <si>
    <t xml:space="preserve">Badger </t>
  </si>
  <si>
    <t xml:space="preserve">Melogale moschata </t>
  </si>
  <si>
    <t xml:space="preserve">Ferret-badgers </t>
  </si>
  <si>
    <t xml:space="preserve">Prunus salicina </t>
  </si>
  <si>
    <t>Zhou et al. 2008a</t>
  </si>
  <si>
    <t>Hubei Houhe NNR</t>
  </si>
  <si>
    <t xml:space="preserve">Melursus ursinus </t>
  </si>
  <si>
    <t>Sloth bear</t>
  </si>
  <si>
    <t>Mangifera indica</t>
  </si>
  <si>
    <t>Bargali et al. 2004</t>
  </si>
  <si>
    <t>North Bilaspur Forest Division, India</t>
  </si>
  <si>
    <t xml:space="preserve">Metachirus nudicaudatus </t>
  </si>
  <si>
    <t>Brown four-eyed opossums</t>
  </si>
  <si>
    <t xml:space="preserve">Micoureus paraguayanus </t>
  </si>
  <si>
    <t>Tate's wolly mouse opossum</t>
  </si>
  <si>
    <t>Microcebus jollyae</t>
  </si>
  <si>
    <t>Jolly's mouse lemur</t>
  </si>
  <si>
    <t>Coffea millotii</t>
  </si>
  <si>
    <t>Ramananjato et al. 2020</t>
  </si>
  <si>
    <t>Microcebus murinus</t>
  </si>
  <si>
    <t>Gray mouse lemur</t>
  </si>
  <si>
    <t>Microcebus rufus</t>
  </si>
  <si>
    <t>Brown mouse lemur</t>
  </si>
  <si>
    <t>Tambourissa thouvenotii</t>
  </si>
  <si>
    <t xml:space="preserve">Microlophus delanonis </t>
  </si>
  <si>
    <t>Lava lizard</t>
  </si>
  <si>
    <t>Bursera graveolens</t>
  </si>
  <si>
    <t>Hervías-Parejo et al. 2019</t>
  </si>
  <si>
    <t>Mitu salvini</t>
  </si>
  <si>
    <t>Salvin's curassow </t>
  </si>
  <si>
    <t>Protium sagotianum</t>
  </si>
  <si>
    <t>Santamaria &amp; Franco 2002, Jiménez pers. comm.</t>
  </si>
  <si>
    <t>Tinigua N.P., Colombia</t>
  </si>
  <si>
    <t xml:space="preserve">Monticola solitarius </t>
  </si>
  <si>
    <t xml:space="preserve">Blue rockthrush </t>
  </si>
  <si>
    <t>Neolitsea sp.</t>
  </si>
  <si>
    <t>Emura et al. 2012</t>
  </si>
  <si>
    <t>Mukojima Island, Japan</t>
  </si>
  <si>
    <t xml:space="preserve">Muntiacus muntjak </t>
  </si>
  <si>
    <t>Muntjak</t>
  </si>
  <si>
    <t>Mustela itatsi</t>
  </si>
  <si>
    <t xml:space="preserve">Japanese weasel </t>
  </si>
  <si>
    <t xml:space="preserve">Diospyros kaki </t>
  </si>
  <si>
    <t>Tsuji et al. 2011b</t>
  </si>
  <si>
    <t>Bonbori Forest, Japan</t>
  </si>
  <si>
    <t xml:space="preserve">Myadestes melanops </t>
  </si>
  <si>
    <t>Black-faced solitaires</t>
  </si>
  <si>
    <t xml:space="preserve">Wintheringia coccoloboides </t>
  </si>
  <si>
    <t>Murray 1988</t>
  </si>
  <si>
    <t>Monteverde, Costa Rica</t>
  </si>
  <si>
    <t xml:space="preserve">Myiopsitta monachus </t>
  </si>
  <si>
    <t>Monk parakeet</t>
  </si>
  <si>
    <t>Plantago major</t>
  </si>
  <si>
    <t>Buenos Aires, Argentina</t>
  </si>
  <si>
    <t>Myloplus tiete</t>
  </si>
  <si>
    <t>Pacu-manteiga</t>
  </si>
  <si>
    <t>Byrsonima  laxiflora</t>
  </si>
  <si>
    <t>Pantanal, Brazil</t>
  </si>
  <si>
    <t>Myloplus torquatus</t>
  </si>
  <si>
    <t>Pacu-prata</t>
  </si>
  <si>
    <t>Mylossoma duriventre</t>
  </si>
  <si>
    <t>Silver dollar fish</t>
  </si>
  <si>
    <t>Ilex sp.</t>
  </si>
  <si>
    <t xml:space="preserve">Nasalis larvatus </t>
  </si>
  <si>
    <t>Proboscis monkey</t>
  </si>
  <si>
    <t>Bridelia stipularis</t>
  </si>
  <si>
    <t>Thiry et al. 2019</t>
  </si>
  <si>
    <t>Lower Kinabatangan Wildlife Sanctuary, Malaysian Borneo</t>
  </si>
  <si>
    <t>Nasua nasua</t>
  </si>
  <si>
    <t>Coati</t>
  </si>
  <si>
    <t xml:space="preserve">Cryptocarya aschersoniana </t>
  </si>
  <si>
    <t>Alves-Costa &amp; Eterovick 2007</t>
  </si>
  <si>
    <t>Mangabeiras Park, Northeastern Brazil</t>
  </si>
  <si>
    <t xml:space="preserve">Nestor notabilis </t>
  </si>
  <si>
    <t xml:space="preserve">New Zealand kea </t>
  </si>
  <si>
    <t>Podocarpus nivalis</t>
  </si>
  <si>
    <t>Young et al. 2011</t>
  </si>
  <si>
    <t>Southern Alps, New Zeland</t>
  </si>
  <si>
    <t xml:space="preserve">Noctilio albiventris </t>
  </si>
  <si>
    <t xml:space="preserve">lesser bulldog bat </t>
  </si>
  <si>
    <t xml:space="preserve">Solanum bicolor </t>
  </si>
  <si>
    <t>Aranguren et al. 2011</t>
  </si>
  <si>
    <t>Hato Piñero, Venezuela</t>
  </si>
  <si>
    <t>Nomascus concolor</t>
  </si>
  <si>
    <t>Black crested gibbon</t>
  </si>
  <si>
    <t>Symplocos ramosissima</t>
  </si>
  <si>
    <t>Fan et al. 2008, Hai et al. 2018</t>
  </si>
  <si>
    <t>Wuliang Mountain, Central Yunnan</t>
  </si>
  <si>
    <t xml:space="preserve">Nyctereutes procyonoides </t>
  </si>
  <si>
    <t>Racoon dog</t>
  </si>
  <si>
    <t>Japan</t>
  </si>
  <si>
    <t xml:space="preserve">Odocoileus virginianus </t>
  </si>
  <si>
    <t>White-tailed deer</t>
  </si>
  <si>
    <t>Williams et al. 2008, Vellend et al. 2003</t>
  </si>
  <si>
    <t>Connecticut, USA</t>
  </si>
  <si>
    <t xml:space="preserve">Orycteropus afer </t>
  </si>
  <si>
    <t xml:space="preserve">Aardvark </t>
  </si>
  <si>
    <t xml:space="preserve">Augea capensis </t>
  </si>
  <si>
    <t xml:space="preserve">Oryctolagus cuniculus </t>
  </si>
  <si>
    <t>Rabbit</t>
  </si>
  <si>
    <t>Crataegus monogyna</t>
  </si>
  <si>
    <t>Mancilla-Leyton et al. 2013</t>
  </si>
  <si>
    <t>Spain</t>
  </si>
  <si>
    <t>Oryzomys galapagoensis</t>
  </si>
  <si>
    <t>Galápagos rice rat</t>
  </si>
  <si>
    <t>Cordia lutea</t>
  </si>
  <si>
    <t xml:space="preserve">Ovibos moschatus </t>
  </si>
  <si>
    <t xml:space="preserve">Muskox </t>
  </si>
  <si>
    <t>Polygonum sp.</t>
  </si>
  <si>
    <t>Bruun et al. 2008</t>
  </si>
  <si>
    <t>Zackenberg area, Greenland</t>
  </si>
  <si>
    <t>Ovis aries</t>
  </si>
  <si>
    <t>Domestic sheep</t>
  </si>
  <si>
    <t>Acacia thunbergii</t>
  </si>
  <si>
    <t>Horn et al. 2013</t>
  </si>
  <si>
    <t>Kalahari, South Africa</t>
  </si>
  <si>
    <t>Paguma larvata</t>
  </si>
  <si>
    <t>Masked palm civet</t>
  </si>
  <si>
    <t>Zhou et al. 2008c</t>
  </si>
  <si>
    <t>Pan paniscus</t>
  </si>
  <si>
    <t>Bonobo</t>
  </si>
  <si>
    <t>Omphalocarpum elatum</t>
  </si>
  <si>
    <t>Trolliet et al. 2016, Beaune et al. 2013</t>
  </si>
  <si>
    <t>WWF-Malebo R. S., LuiKotale, Congo</t>
  </si>
  <si>
    <t>Pan troglodytes</t>
  </si>
  <si>
    <t>Chimpanzee</t>
  </si>
  <si>
    <t xml:space="preserve">Beilschmiedia mani </t>
  </si>
  <si>
    <t>Gautier-Hion et al. 1985</t>
  </si>
  <si>
    <t xml:space="preserve">Makokou, Gabon </t>
  </si>
  <si>
    <t>Papio anubis</t>
  </si>
  <si>
    <t>Olive baboon</t>
  </si>
  <si>
    <t>Vitex doniana</t>
  </si>
  <si>
    <t>Kunz et al. 2008</t>
  </si>
  <si>
    <t>Comoé N.P., Ivory Coast</t>
  </si>
  <si>
    <t>Papio ursinus</t>
  </si>
  <si>
    <t xml:space="preserve">Chacma baboons </t>
  </si>
  <si>
    <t>Grewia occidentalis</t>
  </si>
  <si>
    <t xml:space="preserve">Paradisaea raggiana </t>
  </si>
  <si>
    <t>Bird of paradise</t>
  </si>
  <si>
    <t xml:space="preserve">Dysoxylum pettigrewianum </t>
  </si>
  <si>
    <t>Beehler &amp; Dumbacher 1996</t>
  </si>
  <si>
    <t>Varirata, Papua Nueva Guinea</t>
  </si>
  <si>
    <t xml:space="preserve">Paradoxurus hermaphroditus </t>
  </si>
  <si>
    <t xml:space="preserve">Common palm civet </t>
  </si>
  <si>
    <t xml:space="preserve">Arenga pinnata </t>
  </si>
  <si>
    <t>Subrata &amp; Syahbudin 2016</t>
  </si>
  <si>
    <t xml:space="preserve">Pekalongan, Java, Indonesia </t>
  </si>
  <si>
    <t xml:space="preserve">Penelope superciliaris </t>
  </si>
  <si>
    <t>Rusty-margined guan</t>
  </si>
  <si>
    <t xml:space="preserve">Pseudina frutescens </t>
  </si>
  <si>
    <t>Pizo 2004</t>
  </si>
  <si>
    <t>Itatiba, Brazil</t>
  </si>
  <si>
    <t>Perdix perdix</t>
  </si>
  <si>
    <t>Grey partridge</t>
  </si>
  <si>
    <t>Plantago aviculare</t>
  </si>
  <si>
    <t>Orłowski &amp; Czarnecka 2013</t>
  </si>
  <si>
    <t>Poland</t>
  </si>
  <si>
    <t xml:space="preserve">Phainoptila melanoxantha </t>
  </si>
  <si>
    <t>Black-and-yellow silky-flycatcher</t>
  </si>
  <si>
    <t xml:space="preserve">Pharomachrus mocinno </t>
  </si>
  <si>
    <t>Resplandescent quetzal</t>
  </si>
  <si>
    <t>Licaria excelsa</t>
  </si>
  <si>
    <t>Avila et al. 1996</t>
  </si>
  <si>
    <t>El Triunfo BR, Mexico</t>
  </si>
  <si>
    <t xml:space="preserve">Philander frenata </t>
  </si>
  <si>
    <t>Gray four-eyed opossums</t>
  </si>
  <si>
    <t>Monstera adansoni</t>
  </si>
  <si>
    <t>Cáceres 2004</t>
  </si>
  <si>
    <t>Volta Velha Reserve, Brazil</t>
  </si>
  <si>
    <t xml:space="preserve">Phoenicurus ochruros </t>
  </si>
  <si>
    <t>Black redstart</t>
  </si>
  <si>
    <t>Viburnum lantana</t>
  </si>
  <si>
    <t>Czarnecka et al. 2012</t>
  </si>
  <si>
    <t xml:space="preserve">Piaractus brachypomus </t>
  </si>
  <si>
    <t>Cachama blanca</t>
  </si>
  <si>
    <t>Bactris bidentula</t>
  </si>
  <si>
    <t>Anderson et al. 2009</t>
  </si>
  <si>
    <t xml:space="preserve">Pacaya-Samiria N.R., Peru </t>
  </si>
  <si>
    <r>
      <t>Piaractus</t>
    </r>
    <r>
      <rPr>
        <sz val="12"/>
        <color rgb="FF000000"/>
        <rFont val="Times New Roman"/>
      </rPr>
      <t xml:space="preserve"> </t>
    </r>
    <r>
      <rPr>
        <i/>
        <sz val="12"/>
        <color rgb="FF000000"/>
        <rFont val="Times New Roman"/>
      </rPr>
      <t>mesopotamicus</t>
    </r>
  </si>
  <si>
    <t>Pacu</t>
  </si>
  <si>
    <t>Couepia uiti</t>
  </si>
  <si>
    <t xml:space="preserve">Pimelia costata </t>
  </si>
  <si>
    <t xml:space="preserve">Tenebrionid beetle </t>
  </si>
  <si>
    <t xml:space="preserve">Cytinus hypocistis </t>
  </si>
  <si>
    <t>de Vega et al. 2012</t>
  </si>
  <si>
    <t>Doñana N.P., Spain</t>
  </si>
  <si>
    <t>Pithecia pithecia</t>
  </si>
  <si>
    <t>White-faced sakis</t>
  </si>
  <si>
    <t>Cecropia sp.</t>
  </si>
  <si>
    <t>Norconck et al. 1998</t>
  </si>
  <si>
    <t>Guri, Venezuela</t>
  </si>
  <si>
    <t xml:space="preserve">Platyrrhinus dorsalis </t>
  </si>
  <si>
    <t>Thomas's broad-nosed bat</t>
  </si>
  <si>
    <t>Cecropia peltata</t>
  </si>
  <si>
    <t xml:space="preserve">Platyrrhinus lineatus </t>
  </si>
  <si>
    <t>White-lined broad-nosed bat</t>
  </si>
  <si>
    <t>Solanum mauritianum</t>
  </si>
  <si>
    <t>Silveira et al. 2011</t>
  </si>
  <si>
    <t>R.P. São Marcelo, Brazil</t>
  </si>
  <si>
    <t xml:space="preserve">Platyrrhinus nitelinea </t>
  </si>
  <si>
    <t>Broad-nosed bat</t>
  </si>
  <si>
    <t>Cecropia obtusifolia</t>
  </si>
  <si>
    <t>Platyspiza crassirostris</t>
  </si>
  <si>
    <t>Vegetarian finch</t>
  </si>
  <si>
    <t>Miconia robinsoniana</t>
  </si>
  <si>
    <t xml:space="preserve">Platysternon megacephalum </t>
  </si>
  <si>
    <t xml:space="preserve">Big-headed turtle </t>
  </si>
  <si>
    <t xml:space="preserve">Machilus thunbergii </t>
  </si>
  <si>
    <t>Sung et al. 2016</t>
  </si>
  <si>
    <t>Hong Kong, China</t>
  </si>
  <si>
    <t xml:space="preserve">Podarcis lilfordi </t>
  </si>
  <si>
    <t>Lilford's wall lizard</t>
  </si>
  <si>
    <t xml:space="preserve">Phillyrea latifolia </t>
  </si>
  <si>
    <t>Perez-Mellado &amp; Traveset 1999</t>
  </si>
  <si>
    <t xml:space="preserve">Balearic Islands, Spain </t>
  </si>
  <si>
    <t xml:space="preserve">Pongo pygmaeus </t>
  </si>
  <si>
    <t>Orangutan</t>
  </si>
  <si>
    <t xml:space="preserve">Diospyros areolata </t>
  </si>
  <si>
    <t>Tarszisz et al. 2018</t>
  </si>
  <si>
    <t>Sabangau Forest, Borneo</t>
  </si>
  <si>
    <t>Pottos flavus</t>
  </si>
  <si>
    <t>Kinkajou</t>
  </si>
  <si>
    <t>Astrocaryum standleyanum</t>
  </si>
  <si>
    <t>Kays 1999</t>
  </si>
  <si>
    <t xml:space="preserve">Procyon cancrivorus </t>
  </si>
  <si>
    <t xml:space="preserve">Raccoon </t>
  </si>
  <si>
    <t>Propithecus diadema</t>
  </si>
  <si>
    <t>Diademed sifaka</t>
  </si>
  <si>
    <t xml:space="preserve">Sofanum auricutatum </t>
  </si>
  <si>
    <t xml:space="preserve">Prosthemadera novaeseelandiae </t>
  </si>
  <si>
    <t>Tuis</t>
  </si>
  <si>
    <t xml:space="preserve">Alectryon excelsus </t>
  </si>
  <si>
    <t xml:space="preserve">Pseudalopex culpaeus </t>
  </si>
  <si>
    <t xml:space="preserve">Culpeo fox </t>
  </si>
  <si>
    <t>Silva et al. 2005</t>
  </si>
  <si>
    <t>Chinchillas N.R., Chile</t>
  </si>
  <si>
    <t xml:space="preserve">Pseudalopex gymnocercus </t>
  </si>
  <si>
    <t>Pampa fox</t>
  </si>
  <si>
    <t xml:space="preserve">Syagrus romanzoffiana </t>
  </si>
  <si>
    <t>Varela &amp; Bucher 2006</t>
  </si>
  <si>
    <t xml:space="preserve">Psittacara hockingi </t>
  </si>
  <si>
    <t>Hocking's parakeet</t>
  </si>
  <si>
    <t xml:space="preserve">Leymebamba, Perú </t>
  </si>
  <si>
    <t>Pterodoras granulosus</t>
  </si>
  <si>
    <t>Granulated katfish</t>
  </si>
  <si>
    <t>Conceicao de Souza-Stevaux et 1994</t>
  </si>
  <si>
    <t>Paraná River, Brazil</t>
  </si>
  <si>
    <t xml:space="preserve">Pteroglossus castanotis </t>
  </si>
  <si>
    <t xml:space="preserve">Chestnut-eared aracari </t>
  </si>
  <si>
    <t>Ocotea oblonga</t>
  </si>
  <si>
    <t>Rosado &amp; Linares 2017</t>
  </si>
  <si>
    <t xml:space="preserve">Pteropus alecto </t>
  </si>
  <si>
    <t>Black flying fox</t>
  </si>
  <si>
    <t xml:space="preserve">Carpentaria acuminata </t>
  </si>
  <si>
    <t>Palmer et al. 2000</t>
  </si>
  <si>
    <t>Northern Territory, Australia</t>
  </si>
  <si>
    <t>Radio tracking+model</t>
  </si>
  <si>
    <t>Pteropus conspicillatus</t>
  </si>
  <si>
    <t>Spectacled flying fox</t>
  </si>
  <si>
    <t>Richards 1900</t>
  </si>
  <si>
    <t>Pteropus dasymallus</t>
  </si>
  <si>
    <t>Orii's flying-fox</t>
  </si>
  <si>
    <t xml:space="preserve">Idesia polycarpa </t>
  </si>
  <si>
    <t>Nakamoto et al. 2009</t>
  </si>
  <si>
    <t>Okinawa-jima Island, Japan</t>
  </si>
  <si>
    <t>Pteropus giganteus</t>
  </si>
  <si>
    <t xml:space="preserve">Indian ying fox </t>
  </si>
  <si>
    <t xml:space="preserve">Areca catechu </t>
  </si>
  <si>
    <t>Gulraiz et al. 2016</t>
  </si>
  <si>
    <t xml:space="preserve">Lahore, Pakistan </t>
  </si>
  <si>
    <t xml:space="preserve">Pteropus niger </t>
  </si>
  <si>
    <t>Mauritian flying fox</t>
  </si>
  <si>
    <t>Ficus reflexa</t>
  </si>
  <si>
    <t>Nyhagen et al. 2005, Olesky et al. 2015</t>
  </si>
  <si>
    <t>Mauritius &amp; Madagascar</t>
  </si>
  <si>
    <t xml:space="preserve">Pteropus rufus </t>
  </si>
  <si>
    <t>Madagascaran flying fox</t>
  </si>
  <si>
    <t>Uapaca sp.</t>
  </si>
  <si>
    <t>Bollen &amp; Elsacker  2002</t>
  </si>
  <si>
    <t xml:space="preserve">Sainte Luce, SE Madagascar </t>
  </si>
  <si>
    <t>Pteropus tonganus</t>
  </si>
  <si>
    <t>Insular flying fox</t>
  </si>
  <si>
    <t>McConkey &amp; Drake 2007</t>
  </si>
  <si>
    <t>Pteropus voeltzkowi</t>
  </si>
  <si>
    <t>Pemba flying fox</t>
  </si>
  <si>
    <t>Ficus spp.</t>
  </si>
  <si>
    <t>Entwistle &amp; Corp 1997</t>
  </si>
  <si>
    <t>Pemba Island, Tanzania</t>
  </si>
  <si>
    <t>Ptilinopus pulchellus</t>
  </si>
  <si>
    <t>Beautiful fruit dove</t>
  </si>
  <si>
    <t>Myristica sp.</t>
  </si>
  <si>
    <t xml:space="preserve">Ptilinopus purpuratus </t>
  </si>
  <si>
    <t>Grey-green fruit dove</t>
  </si>
  <si>
    <t xml:space="preserve">Cyclophyllum barbatum </t>
  </si>
  <si>
    <t>Spotswood et al. 2012</t>
  </si>
  <si>
    <t xml:space="preserve">Society Archipelago, French Polynesia </t>
  </si>
  <si>
    <t xml:space="preserve">Pycnonotus barbatus </t>
  </si>
  <si>
    <t xml:space="preserve">Common bulbul </t>
  </si>
  <si>
    <t xml:space="preserve">Pycnonotus cafer </t>
  </si>
  <si>
    <t>Red-vented bulbul </t>
  </si>
  <si>
    <t>Pycnonotus flaviventris</t>
  </si>
  <si>
    <t>Black‐crested bulbu</t>
  </si>
  <si>
    <t>Magnolia baillonii</t>
  </si>
  <si>
    <t>Khamcha et al. 2014</t>
  </si>
  <si>
    <t>Pycnonotus jocosus</t>
  </si>
  <si>
    <t>Red-whiskered bulbul</t>
  </si>
  <si>
    <t>Litsea glutinosa</t>
  </si>
  <si>
    <t>Kitamura et al. 2002, Weir &amp; Corlett 2007</t>
  </si>
  <si>
    <t>Khao Yai N.P., Thailand; Hong Kong</t>
  </si>
  <si>
    <t>Ramphastos dicolorus</t>
  </si>
  <si>
    <t>Toco tucan</t>
  </si>
  <si>
    <t xml:space="preserve">Virola gardneri </t>
  </si>
  <si>
    <t>Ramphastos toco</t>
  </si>
  <si>
    <t>Toco toucan</t>
  </si>
  <si>
    <t>Vitex cymosa</t>
  </si>
  <si>
    <t>Ragusa-Netto 2006</t>
  </si>
  <si>
    <t xml:space="preserve">Ramphocelus costaricensis </t>
  </si>
  <si>
    <t>Cherrie's tanager</t>
  </si>
  <si>
    <t>Rattus rattus</t>
  </si>
  <si>
    <t>Black rat</t>
  </si>
  <si>
    <t>Rhabdotorrhinus waldeni</t>
  </si>
  <si>
    <t>Dulungan hornbill</t>
  </si>
  <si>
    <t xml:space="preserve">Pometia pinnata </t>
  </si>
  <si>
    <t>Hamann &amp; Curio 1999</t>
  </si>
  <si>
    <t>Island of Negros, Phillipins</t>
  </si>
  <si>
    <t>Rhea americana</t>
  </si>
  <si>
    <t>Greater rhea</t>
  </si>
  <si>
    <t>Spondias tuberosa</t>
  </si>
  <si>
    <t>de Azevedo et al. 2013</t>
  </si>
  <si>
    <t xml:space="preserve">Belo Horizonte Zoo, Brazil </t>
  </si>
  <si>
    <t>Rhinoceros unicornis</t>
  </si>
  <si>
    <t>Greater one-horned rhinoceros</t>
  </si>
  <si>
    <t xml:space="preserve">Endau-Rompin N.P., Malaysia </t>
  </si>
  <si>
    <t>Rhinoclemmys funerea</t>
  </si>
  <si>
    <t>Brown wood turtle</t>
  </si>
  <si>
    <t>Moll &amp; Jansen 1995</t>
  </si>
  <si>
    <t>Tortuguero, Costa Rica</t>
  </si>
  <si>
    <t xml:space="preserve">Rousettus aegyptiacus </t>
  </si>
  <si>
    <t xml:space="preserve">Egyptian fruit-bat </t>
  </si>
  <si>
    <t xml:space="preserve">Eriobotrya japonica </t>
  </si>
  <si>
    <t>Korine et al. 1999</t>
  </si>
  <si>
    <t>Mount Carmel N.P., Israel</t>
  </si>
  <si>
    <t>Ruwenzorornis johnstoni</t>
  </si>
  <si>
    <t>Ruwenzori turaco</t>
  </si>
  <si>
    <t xml:space="preserve">Ekebergica capensis </t>
  </si>
  <si>
    <t>Saguinus fuscicollis</t>
  </si>
  <si>
    <t>Saddleback tamarin</t>
  </si>
  <si>
    <t>Buchenavia oxycarpa</t>
  </si>
  <si>
    <t>Knogge &amp; Haymann 2003</t>
  </si>
  <si>
    <t>Quebrada Blanco, Perú</t>
  </si>
  <si>
    <t>Saguinus geoffroyi</t>
  </si>
  <si>
    <t>Panamanian tamarin</t>
  </si>
  <si>
    <t>Garber &amp; Kitron 1997</t>
  </si>
  <si>
    <t>Agua Clara, Panamá</t>
  </si>
  <si>
    <t>Saguinus leucopus</t>
  </si>
  <si>
    <t>White-footed tamarin</t>
  </si>
  <si>
    <t>Diospyros vestita</t>
  </si>
  <si>
    <t>De Luna et al. 2016</t>
  </si>
  <si>
    <t>Remedios, Colombia</t>
  </si>
  <si>
    <t>Saguinus midas</t>
  </si>
  <si>
    <t>Black-handed tamarins</t>
  </si>
  <si>
    <t>Oliveira &amp; Ferrari, 2000</t>
  </si>
  <si>
    <t>Eastern Amazonia, Brazil</t>
  </si>
  <si>
    <t xml:space="preserve">Saguinus mystax </t>
  </si>
  <si>
    <t xml:space="preserve">Moustached tamarin </t>
  </si>
  <si>
    <t>Saimiri sciureus</t>
  </si>
  <si>
    <t>Squirrel monkey</t>
  </si>
  <si>
    <t>Tapirira guianensis</t>
  </si>
  <si>
    <t>Oliveira-Silva et al. 2018</t>
  </si>
  <si>
    <t xml:space="preserve">Saltator maximus </t>
  </si>
  <si>
    <t xml:space="preserve">Buff-throated saltator </t>
  </si>
  <si>
    <t xml:space="preserve">Cissampelos pareira </t>
  </si>
  <si>
    <t>Sapajus apella (syn. Cebus apella)</t>
  </si>
  <si>
    <t>Brown capuchin</t>
  </si>
  <si>
    <r>
      <t xml:space="preserve">Micropholis </t>
    </r>
    <r>
      <rPr>
        <sz val="10"/>
        <color theme="1"/>
        <rFont val="TimesNewRomanPSMT"/>
      </rPr>
      <t xml:space="preserve">melinoniana </t>
    </r>
  </si>
  <si>
    <t>Sapajus libidinosus</t>
  </si>
  <si>
    <t>Copaifera cf. langsdorfii</t>
  </si>
  <si>
    <t xml:space="preserve">Sapajus xanthosternos </t>
  </si>
  <si>
    <t xml:space="preserve">Yellow-breasted capuchins </t>
  </si>
  <si>
    <t xml:space="preserve">Tetrastylidium grandifolium </t>
  </si>
  <si>
    <t>Canale et al. 2016</t>
  </si>
  <si>
    <t xml:space="preserve">Semnornis frantzii </t>
  </si>
  <si>
    <t>Prong Billed Barbet</t>
  </si>
  <si>
    <t xml:space="preserve">Sialia sialis </t>
  </si>
  <si>
    <t xml:space="preserve">Eastern Bluebirds </t>
  </si>
  <si>
    <t>Juniperus virginiana</t>
  </si>
  <si>
    <t>Weinkam et al. 2017</t>
  </si>
  <si>
    <t>Kentucky, USA</t>
  </si>
  <si>
    <t xml:space="preserve">Sphenurus formosae </t>
  </si>
  <si>
    <t xml:space="preserve">Red-capped green pigeon </t>
  </si>
  <si>
    <t xml:space="preserve">Symplocos prunifolia </t>
  </si>
  <si>
    <t>Steatornis carpipensis</t>
  </si>
  <si>
    <t>Oilbird</t>
  </si>
  <si>
    <t>Rhodostemonodaphne grandis</t>
  </si>
  <si>
    <t>Stevenson et al. 2017</t>
  </si>
  <si>
    <t>Cueva de Los Guacharos NP (Colombia)</t>
  </si>
  <si>
    <t>Sturnira erythromos</t>
  </si>
  <si>
    <t>Little yellow-shouldered bat</t>
  </si>
  <si>
    <t xml:space="preserve">Sturnira lilium </t>
  </si>
  <si>
    <t xml:space="preserve">Sturnus vulgaris </t>
  </si>
  <si>
    <t>Starling</t>
  </si>
  <si>
    <t>Sambucus nigra</t>
  </si>
  <si>
    <t>Sus scrofa</t>
  </si>
  <si>
    <t>Wild boar</t>
  </si>
  <si>
    <t>Mangifera sp.</t>
  </si>
  <si>
    <t>Heydon 1994</t>
  </si>
  <si>
    <t>Ulu Segama F.R., Indonesia</t>
  </si>
  <si>
    <t>Sylvia atricapilla</t>
  </si>
  <si>
    <t>Blackcaps</t>
  </si>
  <si>
    <t>Telleria et al. 2013</t>
  </si>
  <si>
    <t xml:space="preserve">Sylvicapra grimmia </t>
  </si>
  <si>
    <t>Grey duiker</t>
  </si>
  <si>
    <t xml:space="preserve">Diospyros lycioides </t>
  </si>
  <si>
    <t xml:space="preserve">Sylvilagus audubonii </t>
  </si>
  <si>
    <t>Desert cottontail</t>
  </si>
  <si>
    <r>
      <t>]uniperus osteosperma</t>
    </r>
    <r>
      <rPr>
        <i/>
        <sz val="18"/>
        <color theme="1"/>
        <rFont val="Helvetica"/>
      </rPr>
      <t xml:space="preserve"> </t>
    </r>
  </si>
  <si>
    <t>Schupp et al. 1997</t>
  </si>
  <si>
    <t>Tooele countly, Utha, USA</t>
  </si>
  <si>
    <t>Sylvilagus bachmani</t>
  </si>
  <si>
    <t>Lythrum hyssopifolia</t>
  </si>
  <si>
    <t>Zedler &amp; Black 1992</t>
  </si>
  <si>
    <t xml:space="preserve">San Diego, USA </t>
  </si>
  <si>
    <t xml:space="preserve">Tangara icterocephala </t>
  </si>
  <si>
    <t xml:space="preserve">Silver-throated tanager </t>
  </si>
  <si>
    <t xml:space="preserve">Croton draco </t>
  </si>
  <si>
    <t xml:space="preserve">Tapirus bairdii </t>
  </si>
  <si>
    <t xml:space="preserve">Central American tapir </t>
  </si>
  <si>
    <t xml:space="preserve">Licania platypus </t>
  </si>
  <si>
    <t>Naranjo 2009</t>
  </si>
  <si>
    <t>Mexico</t>
  </si>
  <si>
    <t>Tapirus indicus</t>
  </si>
  <si>
    <t>Tapir</t>
  </si>
  <si>
    <t xml:space="preserve">Durio zibethinus </t>
  </si>
  <si>
    <t>Campos-Arceiz et al. 2012</t>
  </si>
  <si>
    <t xml:space="preserve">Peninsular Malaysia </t>
  </si>
  <si>
    <t>Telemetry</t>
  </si>
  <si>
    <t>Tapirus pinchaque</t>
  </si>
  <si>
    <t>mountain tapir</t>
  </si>
  <si>
    <t xml:space="preserve">Prunus serotina </t>
  </si>
  <si>
    <t>Downer 2001</t>
  </si>
  <si>
    <t>Sangay NP, Ecuador</t>
  </si>
  <si>
    <t>Tapirus terrestris</t>
  </si>
  <si>
    <t>Lowland tapir</t>
  </si>
  <si>
    <t>Mauritia flexuosa</t>
  </si>
  <si>
    <t xml:space="preserve">Fragoso &amp; Huffman 2000 </t>
  </si>
  <si>
    <t>Maracá Island, Brazil</t>
  </si>
  <si>
    <t>Tauraco schuettii</t>
  </si>
  <si>
    <t>Black billed turaco</t>
  </si>
  <si>
    <t xml:space="preserve">Taurotragus oryx </t>
  </si>
  <si>
    <t xml:space="preserve">Eland </t>
  </si>
  <si>
    <t xml:space="preserve">Acacia caffra </t>
  </si>
  <si>
    <t>Tayassu pecari</t>
  </si>
  <si>
    <t>White-lipped peccary</t>
  </si>
  <si>
    <t>Syagrus romazoffiana</t>
  </si>
  <si>
    <t>Keuroghlian &amp; Eaton 2008</t>
  </si>
  <si>
    <t xml:space="preserve">Sao Paulo State, Brazil </t>
  </si>
  <si>
    <t>Collared peccary</t>
  </si>
  <si>
    <t>Cucurbita foetidissima</t>
  </si>
  <si>
    <t>Platt et al. 2014</t>
  </si>
  <si>
    <t>Alpine-Texas, USA</t>
  </si>
  <si>
    <t>Teius teyou</t>
  </si>
  <si>
    <t>Four-toed tegu</t>
  </si>
  <si>
    <t>Varela &amp; Bucher 2002b</t>
  </si>
  <si>
    <t xml:space="preserve">Terrapene carolina </t>
  </si>
  <si>
    <t xml:space="preserve">Florida box turtle </t>
  </si>
  <si>
    <t xml:space="preserve">Serenoa repens </t>
  </si>
  <si>
    <t>Liu et al. 2004</t>
  </si>
  <si>
    <t>Key Deer N.W.R., USA</t>
  </si>
  <si>
    <t xml:space="preserve">Thectocercus acuticaudatus </t>
  </si>
  <si>
    <t>Blue-crowned conure or parakeet</t>
  </si>
  <si>
    <t xml:space="preserve">Pilosocereus pachycladus </t>
  </si>
  <si>
    <t>Canudos, Brazil</t>
  </si>
  <si>
    <t>Thraupis sayaca</t>
  </si>
  <si>
    <t>Sayaca tanager</t>
  </si>
  <si>
    <t>Chrysophyllum marginatum</t>
  </si>
  <si>
    <t>Timon lepidus</t>
  </si>
  <si>
    <t>Eyed lizard</t>
  </si>
  <si>
    <t>Tamus communis</t>
  </si>
  <si>
    <t>Piazzon et al. 2012</t>
  </si>
  <si>
    <t>Monteagudo Island, Spain</t>
  </si>
  <si>
    <t>Tolypeutes matacus</t>
  </si>
  <si>
    <t>Three banded armadillo</t>
  </si>
  <si>
    <t>Zyzyphys mistol</t>
  </si>
  <si>
    <t>Bolkovic et al. 1995</t>
  </si>
  <si>
    <t>Copo Reserve, Argentina</t>
  </si>
  <si>
    <t>Trachypithecus auratus</t>
  </si>
  <si>
    <t>Javan lutungs</t>
  </si>
  <si>
    <t>Celtis phillipensis</t>
  </si>
  <si>
    <t>Tsuji et al. 2016</t>
  </si>
  <si>
    <t>Pangandaran NR, Indonesia</t>
  </si>
  <si>
    <t xml:space="preserve">Tragelaphus strepsiceros </t>
  </si>
  <si>
    <t>Greater kudu</t>
  </si>
  <si>
    <t>Tragulus napu</t>
  </si>
  <si>
    <t>Greater mouse-deer</t>
  </si>
  <si>
    <t>Polyalthia sumatrana</t>
  </si>
  <si>
    <t xml:space="preserve">Trichosurus vulpecula </t>
  </si>
  <si>
    <t xml:space="preserve">Brushtail possum </t>
  </si>
  <si>
    <t>Elaeocarpus dentatus</t>
  </si>
  <si>
    <t>Cowan 1990</t>
  </si>
  <si>
    <t>Orongorongo Valley, New Zealand</t>
  </si>
  <si>
    <t>Trogon melanocephalus</t>
  </si>
  <si>
    <t>Black-headed trogon</t>
  </si>
  <si>
    <t>Ocotea veraguensis</t>
  </si>
  <si>
    <t>Riehl &amp; Adelson 2008</t>
  </si>
  <si>
    <t>Turdus albicollis</t>
  </si>
  <si>
    <t xml:space="preserve">White- necked Thrush </t>
  </si>
  <si>
    <t>Cabralea canjerana</t>
  </si>
  <si>
    <t>de Castro et al. 2012</t>
  </si>
  <si>
    <t>Cardoso Island, Brazil</t>
  </si>
  <si>
    <t>Turdus amaurocalinus</t>
  </si>
  <si>
    <t>Creamy-bellied thrush</t>
  </si>
  <si>
    <t>Turdus falcklandii</t>
  </si>
  <si>
    <t>Austral thrush</t>
  </si>
  <si>
    <t xml:space="preserve">Turdus flavipes </t>
  </si>
  <si>
    <t xml:space="preserve">Yellow-legged thrush </t>
  </si>
  <si>
    <t>Euterpe edulis</t>
  </si>
  <si>
    <t>Turdus grayi</t>
  </si>
  <si>
    <t xml:space="preserve">Clay-colored thrush </t>
  </si>
  <si>
    <t xml:space="preserve">Siparuna pauciflora </t>
  </si>
  <si>
    <t xml:space="preserve">Turdus iliacu </t>
  </si>
  <si>
    <t xml:space="preserve">Redwing </t>
  </si>
  <si>
    <t>Empetrum nigrum</t>
  </si>
  <si>
    <t>Guitian et al. 1994</t>
  </si>
  <si>
    <t>Southwest Iceland</t>
  </si>
  <si>
    <t xml:space="preserve">Turdus merula </t>
  </si>
  <si>
    <t>Eurasian blackbird</t>
  </si>
  <si>
    <t>Williams &amp; Karl 1996, Jordano et al. 2007</t>
  </si>
  <si>
    <t>Eves, Marsden, Faulkners, New Zeland; Southern Spain</t>
  </si>
  <si>
    <t>Turdus migratorius</t>
  </si>
  <si>
    <t>American robin</t>
  </si>
  <si>
    <t>Turdus naumanni</t>
  </si>
  <si>
    <t>Naumann's thrush</t>
  </si>
  <si>
    <t>Viburnum dilatatum</t>
  </si>
  <si>
    <t>Turdus pallidus</t>
  </si>
  <si>
    <t xml:space="preserve">Pale thrush </t>
  </si>
  <si>
    <t xml:space="preserve">Ardisia sieboldii </t>
  </si>
  <si>
    <t>Turdus philomelos</t>
  </si>
  <si>
    <t xml:space="preserve">Song thrushes </t>
  </si>
  <si>
    <t xml:space="preserve">Berberis glaucocarpa </t>
  </si>
  <si>
    <t>Wyman &amp; Kelly 2017</t>
  </si>
  <si>
    <t>Kouhai Bush, New Zeland</t>
  </si>
  <si>
    <t>Turdus rufiventris</t>
  </si>
  <si>
    <t>Rufous-bellied thrush</t>
  </si>
  <si>
    <t>Ursus americanus</t>
  </si>
  <si>
    <t>American black bear</t>
  </si>
  <si>
    <t>Prunus virginiana</t>
  </si>
  <si>
    <t>Enders &amp; Vander Wall 2012</t>
  </si>
  <si>
    <t>Sierra Nevada, USA</t>
  </si>
  <si>
    <t xml:space="preserve">Ursus thibetanus </t>
  </si>
  <si>
    <t xml:space="preserve">Japanese black bear </t>
  </si>
  <si>
    <t>Juglans mandshurica</t>
  </si>
  <si>
    <t>Takahashi et al. 2008, Koike &amp; Masaki 2019</t>
  </si>
  <si>
    <t>Nagano, Japan</t>
  </si>
  <si>
    <t>Vampyressa pusilla</t>
  </si>
  <si>
    <t xml:space="preserve">Southern yellow-eared bat </t>
  </si>
  <si>
    <t>Varanus olivaceus</t>
  </si>
  <si>
    <t>Gray's monitor</t>
  </si>
  <si>
    <t>Canarium hirsutum</t>
  </si>
  <si>
    <t>Auffenberg 1988</t>
  </si>
  <si>
    <t>Philippines</t>
  </si>
  <si>
    <t>Varecia rubra</t>
  </si>
  <si>
    <t xml:space="preserve">Red- ruffed lemur </t>
  </si>
  <si>
    <t xml:space="preserve">Ampelosicyos humblotii </t>
  </si>
  <si>
    <t>Razafindratsima &amp; Martinez 2012</t>
  </si>
  <si>
    <t>Masoala N.P., Madagascar</t>
  </si>
  <si>
    <t xml:space="preserve">Varecia variegata </t>
  </si>
  <si>
    <r>
      <t>Black and white ruffed lemur</t>
    </r>
    <r>
      <rPr>
        <sz val="10"/>
        <color theme="1"/>
        <rFont val="AdvTT4e89fb21"/>
      </rPr>
      <t xml:space="preserve"> </t>
    </r>
  </si>
  <si>
    <t>Urticaceae (liana)</t>
  </si>
  <si>
    <t>Moses &amp; Semple 2011, Dew &amp; Wright 1998, Razafindratsima et al. 2015</t>
  </si>
  <si>
    <t>Monombo &amp; Ranomafana NP, Madagascar</t>
  </si>
  <si>
    <t xml:space="preserve">Vulpes corsac </t>
  </si>
  <si>
    <t>Corsac fox</t>
  </si>
  <si>
    <t xml:space="preserve">Amygdalus pedunculata </t>
  </si>
  <si>
    <t>Murdoch et al. 2008</t>
  </si>
  <si>
    <t xml:space="preserve">Ikh Nart N.R., Mongolia </t>
  </si>
  <si>
    <t xml:space="preserve">Vulpes vulpes </t>
  </si>
  <si>
    <t>Red fox</t>
  </si>
  <si>
    <t xml:space="preserve">Xenohyla truncata </t>
  </si>
  <si>
    <t>Fruit eating frog</t>
  </si>
  <si>
    <t>Maytenus obtusifolia</t>
  </si>
  <si>
    <t>da Silva &amp; Britto-Pereira 2006</t>
  </si>
  <si>
    <t>Maricá, Brazil</t>
  </si>
  <si>
    <t>Zonotrichia capensis</t>
  </si>
  <si>
    <t>Rufous-collared sparrow</t>
  </si>
  <si>
    <t xml:space="preserve">Zosterops japonicus </t>
  </si>
  <si>
    <t xml:space="preserve">Japanese white-eye </t>
  </si>
  <si>
    <t xml:space="preserve">Cleyera japonica </t>
  </si>
  <si>
    <t xml:space="preserve">Zosterops lateralis </t>
  </si>
  <si>
    <t>Silvereye</t>
  </si>
  <si>
    <t>Kowhai Bush, New Zeland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</si>
</sst>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sz val="11"/>
      <color theme="1"/>
      <name val="Times New Roman"/>
    </font>
    <font>
      <sz val="14"/>
      <color rgb="FF222222"/>
      <name val="Arial"/>
    </font>
    <font>
      <sz val="10"/>
      <color theme="1"/>
      <name val="CenturySchlbk"/>
    </font>
    <font>
      <sz val="10"/>
      <color rgb="FF222222"/>
      <name val="Calibri"/>
      <scheme val="minor"/>
    </font>
    <font>
      <sz val="10"/>
      <color rgb="FF222222"/>
      <name val="Arial"/>
    </font>
    <font>
      <sz val="10"/>
      <color theme="1"/>
      <name val="AdvTTcb1ba73f.I"/>
    </font>
    <font>
      <sz val="12"/>
      <color theme="1"/>
      <name val="Times New Roman"/>
    </font>
    <font>
      <i/>
      <sz val="12"/>
      <color theme="1"/>
      <name val="Times New Roman"/>
    </font>
    <font>
      <sz val="12"/>
      <color rgb="FF000000"/>
      <name val="Times New Roman"/>
    </font>
    <font>
      <i/>
      <sz val="12"/>
      <color rgb="FF000000"/>
      <name val="Times New Roman"/>
    </font>
    <font>
      <sz val="10"/>
      <color theme="1"/>
      <name val="TimesNewRomanPSMT"/>
    </font>
    <font>
      <i/>
      <sz val="18"/>
      <color theme="1"/>
      <name val="Helvetica"/>
    </font>
    <font>
      <sz val="10"/>
      <color theme="1"/>
      <name val="AdvTT4e89fb21"/>
    </font>
    <font>
      <b/>
      <sz val="10"/>
      <color indexed="81"/>
      <name val="Calibri"/>
    </font>
    <font>
      <sz val="10"/>
      <color indexed="8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DATA!$F$1</c:f>
              <c:strCache>
                <c:ptCount val="1"/>
                <c:pt idx="0">
                  <c:v>Max. seed width (mm)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-0.236284558180227"/>
                  <c:y val="-0.2141017789442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DATA!$E$2:$E$386</c:f>
              <c:numCache>
                <c:formatCode>General</c:formatCode>
                <c:ptCount val="385"/>
                <c:pt idx="0">
                  <c:v>1.4</c:v>
                </c:pt>
                <c:pt idx="1">
                  <c:v>1.6</c:v>
                </c:pt>
                <c:pt idx="2">
                  <c:v>2.4</c:v>
                </c:pt>
                <c:pt idx="3">
                  <c:v>48.0</c:v>
                </c:pt>
                <c:pt idx="4">
                  <c:v>0.032</c:v>
                </c:pt>
                <c:pt idx="5">
                  <c:v>250.0</c:v>
                </c:pt>
                <c:pt idx="6">
                  <c:v>0.091</c:v>
                </c:pt>
                <c:pt idx="7">
                  <c:v>0.046</c:v>
                </c:pt>
                <c:pt idx="8">
                  <c:v>7.0</c:v>
                </c:pt>
                <c:pt idx="9">
                  <c:v>5.2</c:v>
                </c:pt>
                <c:pt idx="10">
                  <c:v>7.0</c:v>
                </c:pt>
                <c:pt idx="11">
                  <c:v>7.0</c:v>
                </c:pt>
                <c:pt idx="12">
                  <c:v>6.375</c:v>
                </c:pt>
                <c:pt idx="13">
                  <c:v>0.93</c:v>
                </c:pt>
                <c:pt idx="14">
                  <c:v>0.635</c:v>
                </c:pt>
                <c:pt idx="15">
                  <c:v>0.35</c:v>
                </c:pt>
                <c:pt idx="16">
                  <c:v>0.51</c:v>
                </c:pt>
                <c:pt idx="17">
                  <c:v>1.18</c:v>
                </c:pt>
                <c:pt idx="18">
                  <c:v>1.22</c:v>
                </c:pt>
                <c:pt idx="19">
                  <c:v>0.94</c:v>
                </c:pt>
                <c:pt idx="20">
                  <c:v>0.002</c:v>
                </c:pt>
                <c:pt idx="21">
                  <c:v>0.004</c:v>
                </c:pt>
                <c:pt idx="22">
                  <c:v>0.0025</c:v>
                </c:pt>
                <c:pt idx="23">
                  <c:v>0.0045</c:v>
                </c:pt>
                <c:pt idx="24">
                  <c:v>1.2</c:v>
                </c:pt>
                <c:pt idx="25">
                  <c:v>0.029</c:v>
                </c:pt>
                <c:pt idx="26">
                  <c:v>0.74</c:v>
                </c:pt>
                <c:pt idx="27">
                  <c:v>39.0</c:v>
                </c:pt>
                <c:pt idx="28">
                  <c:v>0.015</c:v>
                </c:pt>
                <c:pt idx="29">
                  <c:v>0.08</c:v>
                </c:pt>
                <c:pt idx="30">
                  <c:v>14.5</c:v>
                </c:pt>
                <c:pt idx="31">
                  <c:v>0.02</c:v>
                </c:pt>
                <c:pt idx="32">
                  <c:v>0.03</c:v>
                </c:pt>
                <c:pt idx="33">
                  <c:v>0.044</c:v>
                </c:pt>
                <c:pt idx="34">
                  <c:v>0.07</c:v>
                </c:pt>
                <c:pt idx="35">
                  <c:v>0.047</c:v>
                </c:pt>
                <c:pt idx="36">
                  <c:v>0.4</c:v>
                </c:pt>
                <c:pt idx="37">
                  <c:v>8.0</c:v>
                </c:pt>
                <c:pt idx="38">
                  <c:v>8.0</c:v>
                </c:pt>
                <c:pt idx="39">
                  <c:v>7.0</c:v>
                </c:pt>
                <c:pt idx="40">
                  <c:v>7.6</c:v>
                </c:pt>
                <c:pt idx="41">
                  <c:v>9.5</c:v>
                </c:pt>
                <c:pt idx="42">
                  <c:v>0.325</c:v>
                </c:pt>
                <c:pt idx="43">
                  <c:v>0.028</c:v>
                </c:pt>
                <c:pt idx="44">
                  <c:v>0.112</c:v>
                </c:pt>
                <c:pt idx="45">
                  <c:v>37.0</c:v>
                </c:pt>
                <c:pt idx="46">
                  <c:v>0.14</c:v>
                </c:pt>
                <c:pt idx="47">
                  <c:v>587.5</c:v>
                </c:pt>
                <c:pt idx="48">
                  <c:v>610.0</c:v>
                </c:pt>
                <c:pt idx="49">
                  <c:v>0.032</c:v>
                </c:pt>
                <c:pt idx="50">
                  <c:v>850.0</c:v>
                </c:pt>
                <c:pt idx="51">
                  <c:v>562.5</c:v>
                </c:pt>
                <c:pt idx="52">
                  <c:v>9.5</c:v>
                </c:pt>
                <c:pt idx="53">
                  <c:v>5.7</c:v>
                </c:pt>
                <c:pt idx="54">
                  <c:v>1.0</c:v>
                </c:pt>
                <c:pt idx="55">
                  <c:v>3.4</c:v>
                </c:pt>
                <c:pt idx="56">
                  <c:v>4.4</c:v>
                </c:pt>
                <c:pt idx="57">
                  <c:v>2.6</c:v>
                </c:pt>
                <c:pt idx="58">
                  <c:v>2.2</c:v>
                </c:pt>
                <c:pt idx="59">
                  <c:v>3.0</c:v>
                </c:pt>
                <c:pt idx="60">
                  <c:v>0.725</c:v>
                </c:pt>
                <c:pt idx="61">
                  <c:v>3.0</c:v>
                </c:pt>
                <c:pt idx="62">
                  <c:v>1.2</c:v>
                </c:pt>
                <c:pt idx="63">
                  <c:v>0.27</c:v>
                </c:pt>
                <c:pt idx="64">
                  <c:v>0.265</c:v>
                </c:pt>
                <c:pt idx="65">
                  <c:v>0.013</c:v>
                </c:pt>
                <c:pt idx="66">
                  <c:v>35.0</c:v>
                </c:pt>
                <c:pt idx="67">
                  <c:v>22.5</c:v>
                </c:pt>
                <c:pt idx="68">
                  <c:v>0.015</c:v>
                </c:pt>
                <c:pt idx="69">
                  <c:v>0.013</c:v>
                </c:pt>
                <c:pt idx="70">
                  <c:v>0.015</c:v>
                </c:pt>
                <c:pt idx="71">
                  <c:v>44.0</c:v>
                </c:pt>
                <c:pt idx="72">
                  <c:v>0.026</c:v>
                </c:pt>
                <c:pt idx="73">
                  <c:v>2.75</c:v>
                </c:pt>
                <c:pt idx="74">
                  <c:v>16.0</c:v>
                </c:pt>
                <c:pt idx="75">
                  <c:v>19.5</c:v>
                </c:pt>
                <c:pt idx="76">
                  <c:v>62.5</c:v>
                </c:pt>
                <c:pt idx="77">
                  <c:v>0.445</c:v>
                </c:pt>
                <c:pt idx="78">
                  <c:v>1.2</c:v>
                </c:pt>
                <c:pt idx="79">
                  <c:v>1.2</c:v>
                </c:pt>
                <c:pt idx="80">
                  <c:v>0.5865</c:v>
                </c:pt>
                <c:pt idx="81">
                  <c:v>3.9</c:v>
                </c:pt>
                <c:pt idx="82">
                  <c:v>3.7</c:v>
                </c:pt>
                <c:pt idx="83">
                  <c:v>4.8</c:v>
                </c:pt>
                <c:pt idx="84">
                  <c:v>4.8</c:v>
                </c:pt>
                <c:pt idx="85">
                  <c:v>8.6</c:v>
                </c:pt>
                <c:pt idx="86">
                  <c:v>5.3</c:v>
                </c:pt>
                <c:pt idx="87">
                  <c:v>3.3</c:v>
                </c:pt>
                <c:pt idx="88">
                  <c:v>3.6</c:v>
                </c:pt>
                <c:pt idx="89">
                  <c:v>6.1</c:v>
                </c:pt>
                <c:pt idx="90">
                  <c:v>70.5</c:v>
                </c:pt>
                <c:pt idx="91">
                  <c:v>42.0</c:v>
                </c:pt>
                <c:pt idx="92">
                  <c:v>180.0</c:v>
                </c:pt>
                <c:pt idx="93">
                  <c:v>0.95</c:v>
                </c:pt>
                <c:pt idx="94">
                  <c:v>0.43</c:v>
                </c:pt>
                <c:pt idx="95">
                  <c:v>0.195</c:v>
                </c:pt>
                <c:pt idx="96">
                  <c:v>15.0</c:v>
                </c:pt>
                <c:pt idx="97">
                  <c:v>1.55</c:v>
                </c:pt>
                <c:pt idx="98">
                  <c:v>80.0</c:v>
                </c:pt>
                <c:pt idx="99">
                  <c:v>0.019</c:v>
                </c:pt>
                <c:pt idx="100">
                  <c:v>5.5</c:v>
                </c:pt>
                <c:pt idx="101">
                  <c:v>0.0143</c:v>
                </c:pt>
                <c:pt idx="102">
                  <c:v>0.4</c:v>
                </c:pt>
                <c:pt idx="103">
                  <c:v>23.0</c:v>
                </c:pt>
                <c:pt idx="104">
                  <c:v>0.0475</c:v>
                </c:pt>
                <c:pt idx="105">
                  <c:v>13.0</c:v>
                </c:pt>
                <c:pt idx="106">
                  <c:v>0.02</c:v>
                </c:pt>
                <c:pt idx="107">
                  <c:v>0.152</c:v>
                </c:pt>
                <c:pt idx="108">
                  <c:v>14.0</c:v>
                </c:pt>
                <c:pt idx="109">
                  <c:v>0.01</c:v>
                </c:pt>
                <c:pt idx="110">
                  <c:v>1.7</c:v>
                </c:pt>
                <c:pt idx="111">
                  <c:v>165.0</c:v>
                </c:pt>
                <c:pt idx="112">
                  <c:v>6.5</c:v>
                </c:pt>
                <c:pt idx="113">
                  <c:v>0.19</c:v>
                </c:pt>
                <c:pt idx="114">
                  <c:v>1.35</c:v>
                </c:pt>
                <c:pt idx="115">
                  <c:v>0.434</c:v>
                </c:pt>
                <c:pt idx="116">
                  <c:v>0.735</c:v>
                </c:pt>
                <c:pt idx="117">
                  <c:v>1.0</c:v>
                </c:pt>
                <c:pt idx="118">
                  <c:v>0.11</c:v>
                </c:pt>
                <c:pt idx="119">
                  <c:v>3.0</c:v>
                </c:pt>
                <c:pt idx="120">
                  <c:v>2.0</c:v>
                </c:pt>
                <c:pt idx="121">
                  <c:v>0.01</c:v>
                </c:pt>
                <c:pt idx="122">
                  <c:v>6.199999999999999</c:v>
                </c:pt>
                <c:pt idx="123">
                  <c:v>0.625</c:v>
                </c:pt>
                <c:pt idx="124">
                  <c:v>63.0</c:v>
                </c:pt>
                <c:pt idx="125">
                  <c:v>0.9</c:v>
                </c:pt>
                <c:pt idx="126">
                  <c:v>0.58</c:v>
                </c:pt>
                <c:pt idx="127">
                  <c:v>34.2</c:v>
                </c:pt>
                <c:pt idx="128">
                  <c:v>0.03</c:v>
                </c:pt>
                <c:pt idx="129">
                  <c:v>0.55</c:v>
                </c:pt>
                <c:pt idx="130">
                  <c:v>0.395</c:v>
                </c:pt>
                <c:pt idx="131">
                  <c:v>0.5</c:v>
                </c:pt>
                <c:pt idx="132">
                  <c:v>0.3</c:v>
                </c:pt>
                <c:pt idx="133">
                  <c:v>0.29</c:v>
                </c:pt>
                <c:pt idx="134">
                  <c:v>0.016</c:v>
                </c:pt>
                <c:pt idx="135">
                  <c:v>0.025</c:v>
                </c:pt>
                <c:pt idx="136">
                  <c:v>0.019</c:v>
                </c:pt>
                <c:pt idx="137">
                  <c:v>4050.0</c:v>
                </c:pt>
                <c:pt idx="138">
                  <c:v>202.5</c:v>
                </c:pt>
                <c:pt idx="139">
                  <c:v>400.0</c:v>
                </c:pt>
                <c:pt idx="140">
                  <c:v>690.0</c:v>
                </c:pt>
                <c:pt idx="141">
                  <c:v>2.5</c:v>
                </c:pt>
                <c:pt idx="142">
                  <c:v>1.9</c:v>
                </c:pt>
                <c:pt idx="143">
                  <c:v>1.85</c:v>
                </c:pt>
                <c:pt idx="144">
                  <c:v>2.25</c:v>
                </c:pt>
                <c:pt idx="145">
                  <c:v>0.0155</c:v>
                </c:pt>
                <c:pt idx="146">
                  <c:v>4.8</c:v>
                </c:pt>
                <c:pt idx="147">
                  <c:v>0.9</c:v>
                </c:pt>
                <c:pt idx="148">
                  <c:v>0.9</c:v>
                </c:pt>
                <c:pt idx="149">
                  <c:v>0.035</c:v>
                </c:pt>
                <c:pt idx="150">
                  <c:v>0.041</c:v>
                </c:pt>
                <c:pt idx="151">
                  <c:v>0.5</c:v>
                </c:pt>
                <c:pt idx="152">
                  <c:v>19.0</c:v>
                </c:pt>
                <c:pt idx="153">
                  <c:v>1.8</c:v>
                </c:pt>
                <c:pt idx="154">
                  <c:v>0.025</c:v>
                </c:pt>
                <c:pt idx="155">
                  <c:v>800.0</c:v>
                </c:pt>
                <c:pt idx="156">
                  <c:v>0.0105</c:v>
                </c:pt>
                <c:pt idx="157">
                  <c:v>5.5</c:v>
                </c:pt>
                <c:pt idx="158">
                  <c:v>136.5</c:v>
                </c:pt>
                <c:pt idx="159">
                  <c:v>0.022</c:v>
                </c:pt>
                <c:pt idx="160">
                  <c:v>44.5</c:v>
                </c:pt>
                <c:pt idx="161">
                  <c:v>0.005</c:v>
                </c:pt>
                <c:pt idx="162">
                  <c:v>0.73</c:v>
                </c:pt>
                <c:pt idx="163">
                  <c:v>2.6</c:v>
                </c:pt>
                <c:pt idx="164">
                  <c:v>0.01</c:v>
                </c:pt>
                <c:pt idx="165">
                  <c:v>5.6</c:v>
                </c:pt>
                <c:pt idx="166">
                  <c:v>5.8</c:v>
                </c:pt>
                <c:pt idx="167">
                  <c:v>5.5</c:v>
                </c:pt>
                <c:pt idx="168">
                  <c:v>0.08</c:v>
                </c:pt>
                <c:pt idx="169">
                  <c:v>3.1</c:v>
                </c:pt>
                <c:pt idx="170">
                  <c:v>0.064</c:v>
                </c:pt>
                <c:pt idx="171">
                  <c:v>0.21</c:v>
                </c:pt>
                <c:pt idx="172">
                  <c:v>8.2</c:v>
                </c:pt>
                <c:pt idx="173">
                  <c:v>7.5</c:v>
                </c:pt>
                <c:pt idx="174">
                  <c:v>0.6</c:v>
                </c:pt>
                <c:pt idx="175">
                  <c:v>0.62</c:v>
                </c:pt>
                <c:pt idx="176">
                  <c:v>3.9</c:v>
                </c:pt>
                <c:pt idx="177">
                  <c:v>3.0</c:v>
                </c:pt>
                <c:pt idx="178">
                  <c:v>0.2</c:v>
                </c:pt>
                <c:pt idx="179">
                  <c:v>0.015</c:v>
                </c:pt>
                <c:pt idx="180">
                  <c:v>15.0</c:v>
                </c:pt>
                <c:pt idx="181">
                  <c:v>3.6</c:v>
                </c:pt>
                <c:pt idx="182">
                  <c:v>3246.666666666667</c:v>
                </c:pt>
                <c:pt idx="183">
                  <c:v>0.0036</c:v>
                </c:pt>
                <c:pt idx="184">
                  <c:v>6.5</c:v>
                </c:pt>
                <c:pt idx="185">
                  <c:v>5.7</c:v>
                </c:pt>
                <c:pt idx="186">
                  <c:v>5.3</c:v>
                </c:pt>
                <c:pt idx="187">
                  <c:v>10.0</c:v>
                </c:pt>
                <c:pt idx="188">
                  <c:v>6.4</c:v>
                </c:pt>
                <c:pt idx="189">
                  <c:v>7.75</c:v>
                </c:pt>
                <c:pt idx="190">
                  <c:v>6.5</c:v>
                </c:pt>
                <c:pt idx="191">
                  <c:v>114.0</c:v>
                </c:pt>
                <c:pt idx="192">
                  <c:v>0.014</c:v>
                </c:pt>
                <c:pt idx="193">
                  <c:v>16.0</c:v>
                </c:pt>
                <c:pt idx="194">
                  <c:v>0.06</c:v>
                </c:pt>
                <c:pt idx="195">
                  <c:v>0.039</c:v>
                </c:pt>
                <c:pt idx="196">
                  <c:v>3.4</c:v>
                </c:pt>
                <c:pt idx="197">
                  <c:v>0.95</c:v>
                </c:pt>
                <c:pt idx="198">
                  <c:v>1.7</c:v>
                </c:pt>
                <c:pt idx="199">
                  <c:v>1.75</c:v>
                </c:pt>
                <c:pt idx="200">
                  <c:v>1.6</c:v>
                </c:pt>
                <c:pt idx="201">
                  <c:v>33.8</c:v>
                </c:pt>
                <c:pt idx="202">
                  <c:v>0.096</c:v>
                </c:pt>
                <c:pt idx="203">
                  <c:v>0.0875</c:v>
                </c:pt>
                <c:pt idx="204">
                  <c:v>12.0</c:v>
                </c:pt>
                <c:pt idx="205">
                  <c:v>0.9</c:v>
                </c:pt>
                <c:pt idx="206">
                  <c:v>86.5</c:v>
                </c:pt>
                <c:pt idx="207">
                  <c:v>0.4</c:v>
                </c:pt>
                <c:pt idx="208">
                  <c:v>0.11</c:v>
                </c:pt>
                <c:pt idx="209">
                  <c:v>0.06</c:v>
                </c:pt>
                <c:pt idx="210">
                  <c:v>0.06</c:v>
                </c:pt>
                <c:pt idx="211">
                  <c:v>0.044</c:v>
                </c:pt>
                <c:pt idx="212">
                  <c:v>0.23</c:v>
                </c:pt>
                <c:pt idx="213">
                  <c:v>3.0</c:v>
                </c:pt>
                <c:pt idx="214">
                  <c:v>0.06</c:v>
                </c:pt>
                <c:pt idx="215">
                  <c:v>20.0</c:v>
                </c:pt>
                <c:pt idx="216">
                  <c:v>0.4</c:v>
                </c:pt>
                <c:pt idx="217">
                  <c:v>0.0315</c:v>
                </c:pt>
                <c:pt idx="218">
                  <c:v>0.1</c:v>
                </c:pt>
                <c:pt idx="219">
                  <c:v>0.14</c:v>
                </c:pt>
                <c:pt idx="220">
                  <c:v>0.86</c:v>
                </c:pt>
                <c:pt idx="221">
                  <c:v>1.0</c:v>
                </c:pt>
                <c:pt idx="222">
                  <c:v>14.5</c:v>
                </c:pt>
                <c:pt idx="223">
                  <c:v>4.5</c:v>
                </c:pt>
                <c:pt idx="224">
                  <c:v>0.87</c:v>
                </c:pt>
                <c:pt idx="225">
                  <c:v>0.031</c:v>
                </c:pt>
                <c:pt idx="226">
                  <c:v>5.0</c:v>
                </c:pt>
                <c:pt idx="227">
                  <c:v>4.1</c:v>
                </c:pt>
                <c:pt idx="228">
                  <c:v>56.5</c:v>
                </c:pt>
                <c:pt idx="229">
                  <c:v>53.0</c:v>
                </c:pt>
                <c:pt idx="230">
                  <c:v>2.0</c:v>
                </c:pt>
                <c:pt idx="231">
                  <c:v>0.06</c:v>
                </c:pt>
                <c:pt idx="232">
                  <c:v>260.0</c:v>
                </c:pt>
                <c:pt idx="233">
                  <c:v>87.0</c:v>
                </c:pt>
                <c:pt idx="234">
                  <c:v>4.3</c:v>
                </c:pt>
                <c:pt idx="235">
                  <c:v>39.0</c:v>
                </c:pt>
                <c:pt idx="236">
                  <c:v>42.0</c:v>
                </c:pt>
                <c:pt idx="237">
                  <c:v>19.5</c:v>
                </c:pt>
                <c:pt idx="238">
                  <c:v>12.0</c:v>
                </c:pt>
                <c:pt idx="239">
                  <c:v>0.25</c:v>
                </c:pt>
                <c:pt idx="240">
                  <c:v>3.2</c:v>
                </c:pt>
                <c:pt idx="241">
                  <c:v>1.05</c:v>
                </c:pt>
                <c:pt idx="242">
                  <c:v>382.5</c:v>
                </c:pt>
                <c:pt idx="243">
                  <c:v>0.06</c:v>
                </c:pt>
                <c:pt idx="244">
                  <c:v>0.21</c:v>
                </c:pt>
                <c:pt idx="245">
                  <c:v>0.32</c:v>
                </c:pt>
                <c:pt idx="246">
                  <c:v>0.016</c:v>
                </c:pt>
                <c:pt idx="247">
                  <c:v>25.0</c:v>
                </c:pt>
                <c:pt idx="248">
                  <c:v>20.0</c:v>
                </c:pt>
                <c:pt idx="249">
                  <c:v>0.0075</c:v>
                </c:pt>
                <c:pt idx="250">
                  <c:v>2.1</c:v>
                </c:pt>
                <c:pt idx="251">
                  <c:v>0.026</c:v>
                </c:pt>
                <c:pt idx="252">
                  <c:v>0.022</c:v>
                </c:pt>
                <c:pt idx="253">
                  <c:v>0.03</c:v>
                </c:pt>
                <c:pt idx="254">
                  <c:v>0.037</c:v>
                </c:pt>
                <c:pt idx="255">
                  <c:v>0.393</c:v>
                </c:pt>
                <c:pt idx="256">
                  <c:v>0.01</c:v>
                </c:pt>
                <c:pt idx="257">
                  <c:v>57.5</c:v>
                </c:pt>
                <c:pt idx="258">
                  <c:v>3.0</c:v>
                </c:pt>
                <c:pt idx="259">
                  <c:v>5.0</c:v>
                </c:pt>
                <c:pt idx="260">
                  <c:v>6.5</c:v>
                </c:pt>
                <c:pt idx="261">
                  <c:v>0.0933</c:v>
                </c:pt>
                <c:pt idx="262">
                  <c:v>8.6</c:v>
                </c:pt>
                <c:pt idx="263">
                  <c:v>5.2</c:v>
                </c:pt>
                <c:pt idx="264">
                  <c:v>0.18</c:v>
                </c:pt>
                <c:pt idx="265">
                  <c:v>6.5</c:v>
                </c:pt>
                <c:pt idx="266">
                  <c:v>0.265</c:v>
                </c:pt>
                <c:pt idx="267">
                  <c:v>0.61</c:v>
                </c:pt>
                <c:pt idx="268">
                  <c:v>0.7</c:v>
                </c:pt>
                <c:pt idx="269">
                  <c:v>0.45</c:v>
                </c:pt>
                <c:pt idx="270">
                  <c:v>1.2</c:v>
                </c:pt>
                <c:pt idx="271">
                  <c:v>0.46</c:v>
                </c:pt>
                <c:pt idx="272">
                  <c:v>0.749</c:v>
                </c:pt>
                <c:pt idx="273">
                  <c:v>0.56</c:v>
                </c:pt>
                <c:pt idx="274">
                  <c:v>0.55</c:v>
                </c:pt>
                <c:pt idx="275">
                  <c:v>0.072</c:v>
                </c:pt>
                <c:pt idx="276">
                  <c:v>0.088</c:v>
                </c:pt>
                <c:pt idx="277">
                  <c:v>0.042</c:v>
                </c:pt>
                <c:pt idx="278">
                  <c:v>0.043</c:v>
                </c:pt>
                <c:pt idx="279">
                  <c:v>0.027</c:v>
                </c:pt>
                <c:pt idx="280">
                  <c:v>0.04</c:v>
                </c:pt>
                <c:pt idx="281">
                  <c:v>0.6495</c:v>
                </c:pt>
                <c:pt idx="282">
                  <c:v>0.62</c:v>
                </c:pt>
                <c:pt idx="283">
                  <c:v>0.03</c:v>
                </c:pt>
                <c:pt idx="284">
                  <c:v>0.14</c:v>
                </c:pt>
                <c:pt idx="285">
                  <c:v>0.8</c:v>
                </c:pt>
                <c:pt idx="286">
                  <c:v>23.5</c:v>
                </c:pt>
                <c:pt idx="287">
                  <c:v>2250.0</c:v>
                </c:pt>
                <c:pt idx="288">
                  <c:v>4.5</c:v>
                </c:pt>
                <c:pt idx="289">
                  <c:v>0.125</c:v>
                </c:pt>
                <c:pt idx="290">
                  <c:v>0.235</c:v>
                </c:pt>
                <c:pt idx="291">
                  <c:v>0.445</c:v>
                </c:pt>
                <c:pt idx="292">
                  <c:v>0.4965</c:v>
                </c:pt>
                <c:pt idx="293">
                  <c:v>0.46</c:v>
                </c:pt>
                <c:pt idx="294">
                  <c:v>0.55</c:v>
                </c:pt>
                <c:pt idx="295">
                  <c:v>0.695</c:v>
                </c:pt>
                <c:pt idx="296">
                  <c:v>0.9</c:v>
                </c:pt>
                <c:pt idx="297">
                  <c:v>0.04</c:v>
                </c:pt>
                <c:pt idx="298">
                  <c:v>3.05</c:v>
                </c:pt>
                <c:pt idx="299">
                  <c:v>2.4</c:v>
                </c:pt>
                <c:pt idx="300">
                  <c:v>3.0</c:v>
                </c:pt>
                <c:pt idx="301">
                  <c:v>0.065</c:v>
                </c:pt>
                <c:pt idx="302">
                  <c:v>0.03</c:v>
                </c:pt>
                <c:pt idx="303">
                  <c:v>0.24</c:v>
                </c:pt>
                <c:pt idx="304">
                  <c:v>0.4</c:v>
                </c:pt>
                <c:pt idx="305">
                  <c:v>0.016</c:v>
                </c:pt>
                <c:pt idx="306">
                  <c:v>0.021</c:v>
                </c:pt>
                <c:pt idx="307">
                  <c:v>0.0777</c:v>
                </c:pt>
                <c:pt idx="308">
                  <c:v>135.0</c:v>
                </c:pt>
                <c:pt idx="309">
                  <c:v>0.02</c:v>
                </c:pt>
                <c:pt idx="310">
                  <c:v>16.0</c:v>
                </c:pt>
                <c:pt idx="311">
                  <c:v>1.1375</c:v>
                </c:pt>
                <c:pt idx="312">
                  <c:v>0.7</c:v>
                </c:pt>
                <c:pt idx="313">
                  <c:v>0.022</c:v>
                </c:pt>
                <c:pt idx="314">
                  <c:v>275.0</c:v>
                </c:pt>
                <c:pt idx="315">
                  <c:v>350.0</c:v>
                </c:pt>
                <c:pt idx="316">
                  <c:v>143.0</c:v>
                </c:pt>
                <c:pt idx="317">
                  <c:v>155.5</c:v>
                </c:pt>
                <c:pt idx="318">
                  <c:v>0.235</c:v>
                </c:pt>
                <c:pt idx="319">
                  <c:v>563.0</c:v>
                </c:pt>
                <c:pt idx="320">
                  <c:v>33.2</c:v>
                </c:pt>
                <c:pt idx="321">
                  <c:v>22.0</c:v>
                </c:pt>
                <c:pt idx="322">
                  <c:v>0.03</c:v>
                </c:pt>
                <c:pt idx="323">
                  <c:v>0.8</c:v>
                </c:pt>
                <c:pt idx="324">
                  <c:v>0.173</c:v>
                </c:pt>
                <c:pt idx="325">
                  <c:v>0.031</c:v>
                </c:pt>
                <c:pt idx="326">
                  <c:v>0.45</c:v>
                </c:pt>
                <c:pt idx="327">
                  <c:v>1.5</c:v>
                </c:pt>
                <c:pt idx="328">
                  <c:v>7.0</c:v>
                </c:pt>
                <c:pt idx="329">
                  <c:v>198.0</c:v>
                </c:pt>
                <c:pt idx="330">
                  <c:v>7.0</c:v>
                </c:pt>
                <c:pt idx="331">
                  <c:v>2.34</c:v>
                </c:pt>
                <c:pt idx="332">
                  <c:v>0.08</c:v>
                </c:pt>
                <c:pt idx="333">
                  <c:v>0.05</c:v>
                </c:pt>
                <c:pt idx="334">
                  <c:v>0.0625</c:v>
                </c:pt>
                <c:pt idx="335">
                  <c:v>0.085</c:v>
                </c:pt>
                <c:pt idx="336">
                  <c:v>0.06</c:v>
                </c:pt>
                <c:pt idx="337">
                  <c:v>0.074</c:v>
                </c:pt>
                <c:pt idx="338">
                  <c:v>0.061</c:v>
                </c:pt>
                <c:pt idx="339">
                  <c:v>0.11</c:v>
                </c:pt>
                <c:pt idx="340">
                  <c:v>0.077</c:v>
                </c:pt>
                <c:pt idx="341">
                  <c:v>0.079</c:v>
                </c:pt>
                <c:pt idx="342">
                  <c:v>0.085</c:v>
                </c:pt>
                <c:pt idx="343">
                  <c:v>0.068</c:v>
                </c:pt>
                <c:pt idx="344">
                  <c:v>0.063</c:v>
                </c:pt>
                <c:pt idx="345">
                  <c:v>120.0</c:v>
                </c:pt>
                <c:pt idx="346">
                  <c:v>104.0</c:v>
                </c:pt>
                <c:pt idx="347">
                  <c:v>0.017</c:v>
                </c:pt>
                <c:pt idx="348">
                  <c:v>6.7</c:v>
                </c:pt>
                <c:pt idx="349">
                  <c:v>3.9</c:v>
                </c:pt>
                <c:pt idx="350">
                  <c:v>3.65</c:v>
                </c:pt>
                <c:pt idx="351">
                  <c:v>2.4</c:v>
                </c:pt>
                <c:pt idx="352">
                  <c:v>5.5</c:v>
                </c:pt>
                <c:pt idx="353">
                  <c:v>0.11</c:v>
                </c:pt>
                <c:pt idx="354">
                  <c:v>0.0225</c:v>
                </c:pt>
                <c:pt idx="355">
                  <c:v>0.01</c:v>
                </c:pt>
                <c:pt idx="356">
                  <c:v>0.013</c:v>
                </c:pt>
              </c:numCache>
            </c:numRef>
          </c:xVal>
          <c:yVal>
            <c:numRef>
              <c:f>DATA!$F$2:$F$386</c:f>
              <c:numCache>
                <c:formatCode>General</c:formatCode>
                <c:ptCount val="385"/>
                <c:pt idx="0">
                  <c:v>28.4</c:v>
                </c:pt>
                <c:pt idx="1">
                  <c:v>21.6</c:v>
                </c:pt>
                <c:pt idx="2">
                  <c:v>28.4</c:v>
                </c:pt>
                <c:pt idx="3">
                  <c:v>6.0</c:v>
                </c:pt>
                <c:pt idx="4">
                  <c:v>3.0</c:v>
                </c:pt>
                <c:pt idx="5">
                  <c:v>18.8</c:v>
                </c:pt>
                <c:pt idx="6">
                  <c:v>8.0</c:v>
                </c:pt>
                <c:pt idx="7">
                  <c:v>10.7</c:v>
                </c:pt>
                <c:pt idx="8">
                  <c:v>15.0</c:v>
                </c:pt>
                <c:pt idx="9">
                  <c:v>12.0</c:v>
                </c:pt>
                <c:pt idx="10">
                  <c:v>18.0</c:v>
                </c:pt>
                <c:pt idx="11">
                  <c:v>17.0</c:v>
                </c:pt>
                <c:pt idx="12">
                  <c:v>25.0</c:v>
                </c:pt>
                <c:pt idx="13">
                  <c:v>4.0</c:v>
                </c:pt>
                <c:pt idx="14">
                  <c:v>1.8</c:v>
                </c:pt>
                <c:pt idx="15">
                  <c:v>3.0</c:v>
                </c:pt>
                <c:pt idx="16">
                  <c:v>1.8</c:v>
                </c:pt>
                <c:pt idx="17">
                  <c:v>7.8</c:v>
                </c:pt>
                <c:pt idx="18">
                  <c:v>1.8</c:v>
                </c:pt>
                <c:pt idx="19">
                  <c:v>1.73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3.0</c:v>
                </c:pt>
                <c:pt idx="24">
                  <c:v>28.4</c:v>
                </c:pt>
                <c:pt idx="25">
                  <c:v>4.5</c:v>
                </c:pt>
                <c:pt idx="26">
                  <c:v>18.0</c:v>
                </c:pt>
                <c:pt idx="27">
                  <c:v>1.5</c:v>
                </c:pt>
                <c:pt idx="28">
                  <c:v>5.0</c:v>
                </c:pt>
                <c:pt idx="29">
                  <c:v>9.0</c:v>
                </c:pt>
                <c:pt idx="30">
                  <c:v>16.7</c:v>
                </c:pt>
                <c:pt idx="31">
                  <c:v>2.0</c:v>
                </c:pt>
                <c:pt idx="32">
                  <c:v>3.5</c:v>
                </c:pt>
                <c:pt idx="33">
                  <c:v>2.0</c:v>
                </c:pt>
                <c:pt idx="34">
                  <c:v>3.2</c:v>
                </c:pt>
                <c:pt idx="35">
                  <c:v>6.0</c:v>
                </c:pt>
                <c:pt idx="36">
                  <c:v>0.8</c:v>
                </c:pt>
                <c:pt idx="37">
                  <c:v>25.0</c:v>
                </c:pt>
                <c:pt idx="38">
                  <c:v>18.0</c:v>
                </c:pt>
                <c:pt idx="39">
                  <c:v>18.0</c:v>
                </c:pt>
                <c:pt idx="40">
                  <c:v>19.0</c:v>
                </c:pt>
                <c:pt idx="41">
                  <c:v>32.0</c:v>
                </c:pt>
                <c:pt idx="42">
                  <c:v>2.0</c:v>
                </c:pt>
                <c:pt idx="43">
                  <c:v>6.0</c:v>
                </c:pt>
                <c:pt idx="44">
                  <c:v>18.0</c:v>
                </c:pt>
                <c:pt idx="45">
                  <c:v>3.0</c:v>
                </c:pt>
                <c:pt idx="46">
                  <c:v>15.0</c:v>
                </c:pt>
                <c:pt idx="47">
                  <c:v>3.0</c:v>
                </c:pt>
                <c:pt idx="48">
                  <c:v>5.0</c:v>
                </c:pt>
                <c:pt idx="49">
                  <c:v>7.0</c:v>
                </c:pt>
                <c:pt idx="50">
                  <c:v>7.0</c:v>
                </c:pt>
                <c:pt idx="51">
                  <c:v>7.0</c:v>
                </c:pt>
                <c:pt idx="52">
                  <c:v>20.0</c:v>
                </c:pt>
                <c:pt idx="53">
                  <c:v>2.0</c:v>
                </c:pt>
                <c:pt idx="54">
                  <c:v>16.4</c:v>
                </c:pt>
                <c:pt idx="55">
                  <c:v>13.5</c:v>
                </c:pt>
                <c:pt idx="56">
                  <c:v>16.0</c:v>
                </c:pt>
                <c:pt idx="57">
                  <c:v>28.4</c:v>
                </c:pt>
                <c:pt idx="58">
                  <c:v>28.4</c:v>
                </c:pt>
                <c:pt idx="59">
                  <c:v>19.3</c:v>
                </c:pt>
                <c:pt idx="61">
                  <c:v>20.0</c:v>
                </c:pt>
                <c:pt idx="62">
                  <c:v>7.0</c:v>
                </c:pt>
                <c:pt idx="63">
                  <c:v>4.0</c:v>
                </c:pt>
                <c:pt idx="64">
                  <c:v>5.0</c:v>
                </c:pt>
                <c:pt idx="65">
                  <c:v>1.0</c:v>
                </c:pt>
                <c:pt idx="66">
                  <c:v>3.2</c:v>
                </c:pt>
                <c:pt idx="67">
                  <c:v>3.0</c:v>
                </c:pt>
                <c:pt idx="68">
                  <c:v>2.0</c:v>
                </c:pt>
                <c:pt idx="69">
                  <c:v>1.0</c:v>
                </c:pt>
                <c:pt idx="70">
                  <c:v>2.5</c:v>
                </c:pt>
                <c:pt idx="71">
                  <c:v>33.0</c:v>
                </c:pt>
                <c:pt idx="72">
                  <c:v>2.8</c:v>
                </c:pt>
                <c:pt idx="73">
                  <c:v>13.0</c:v>
                </c:pt>
                <c:pt idx="74">
                  <c:v>23.0</c:v>
                </c:pt>
                <c:pt idx="75">
                  <c:v>20.0</c:v>
                </c:pt>
                <c:pt idx="76">
                  <c:v>32.0</c:v>
                </c:pt>
                <c:pt idx="77">
                  <c:v>32.0</c:v>
                </c:pt>
                <c:pt idx="78">
                  <c:v>24.0</c:v>
                </c:pt>
                <c:pt idx="79">
                  <c:v>24.0</c:v>
                </c:pt>
                <c:pt idx="80">
                  <c:v>18.0</c:v>
                </c:pt>
                <c:pt idx="81">
                  <c:v>6.1</c:v>
                </c:pt>
                <c:pt idx="82">
                  <c:v>18.0</c:v>
                </c:pt>
                <c:pt idx="83">
                  <c:v>6.0</c:v>
                </c:pt>
                <c:pt idx="84">
                  <c:v>6.0</c:v>
                </c:pt>
                <c:pt idx="85">
                  <c:v>6.0</c:v>
                </c:pt>
                <c:pt idx="86">
                  <c:v>16.9</c:v>
                </c:pt>
                <c:pt idx="87">
                  <c:v>17.0</c:v>
                </c:pt>
                <c:pt idx="88">
                  <c:v>18.0</c:v>
                </c:pt>
                <c:pt idx="89">
                  <c:v>10.0</c:v>
                </c:pt>
                <c:pt idx="90">
                  <c:v>5.0</c:v>
                </c:pt>
                <c:pt idx="91">
                  <c:v>7.0</c:v>
                </c:pt>
                <c:pt idx="92">
                  <c:v>23.8</c:v>
                </c:pt>
                <c:pt idx="93">
                  <c:v>20.0</c:v>
                </c:pt>
                <c:pt idx="94">
                  <c:v>12.5</c:v>
                </c:pt>
                <c:pt idx="95">
                  <c:v>8.2</c:v>
                </c:pt>
                <c:pt idx="96">
                  <c:v>30.0</c:v>
                </c:pt>
                <c:pt idx="97">
                  <c:v>8.0</c:v>
                </c:pt>
                <c:pt idx="98">
                  <c:v>10.0</c:v>
                </c:pt>
                <c:pt idx="99">
                  <c:v>6.0</c:v>
                </c:pt>
                <c:pt idx="100">
                  <c:v>6.8</c:v>
                </c:pt>
                <c:pt idx="101">
                  <c:v>4.0</c:v>
                </c:pt>
                <c:pt idx="102">
                  <c:v>2.5</c:v>
                </c:pt>
                <c:pt idx="103">
                  <c:v>20.0</c:v>
                </c:pt>
                <c:pt idx="104">
                  <c:v>6.0</c:v>
                </c:pt>
                <c:pt idx="105">
                  <c:v>9.9</c:v>
                </c:pt>
                <c:pt idx="106">
                  <c:v>6.0</c:v>
                </c:pt>
                <c:pt idx="107">
                  <c:v>6.0</c:v>
                </c:pt>
                <c:pt idx="108">
                  <c:v>6.0</c:v>
                </c:pt>
                <c:pt idx="109">
                  <c:v>6.0</c:v>
                </c:pt>
                <c:pt idx="110">
                  <c:v>22.0</c:v>
                </c:pt>
                <c:pt idx="111">
                  <c:v>2.0</c:v>
                </c:pt>
                <c:pt idx="112">
                  <c:v>1.5</c:v>
                </c:pt>
                <c:pt idx="113">
                  <c:v>8.0</c:v>
                </c:pt>
                <c:pt idx="114">
                  <c:v>10.0</c:v>
                </c:pt>
                <c:pt idx="115">
                  <c:v>4.5</c:v>
                </c:pt>
                <c:pt idx="116">
                  <c:v>7.0</c:v>
                </c:pt>
                <c:pt idx="117">
                  <c:v>19.0</c:v>
                </c:pt>
                <c:pt idx="118">
                  <c:v>3.5</c:v>
                </c:pt>
                <c:pt idx="119">
                  <c:v>9.0</c:v>
                </c:pt>
                <c:pt idx="120">
                  <c:v>13.0</c:v>
                </c:pt>
                <c:pt idx="121">
                  <c:v>1.5</c:v>
                </c:pt>
                <c:pt idx="122">
                  <c:v>2.0</c:v>
                </c:pt>
                <c:pt idx="123">
                  <c:v>12.0</c:v>
                </c:pt>
                <c:pt idx="124">
                  <c:v>3.5</c:v>
                </c:pt>
                <c:pt idx="125">
                  <c:v>8.0</c:v>
                </c:pt>
                <c:pt idx="126">
                  <c:v>1.5</c:v>
                </c:pt>
                <c:pt idx="127">
                  <c:v>27.0</c:v>
                </c:pt>
                <c:pt idx="128">
                  <c:v>6.0</c:v>
                </c:pt>
                <c:pt idx="129">
                  <c:v>20.0</c:v>
                </c:pt>
                <c:pt idx="130">
                  <c:v>26.0</c:v>
                </c:pt>
                <c:pt idx="131">
                  <c:v>29.0</c:v>
                </c:pt>
                <c:pt idx="132">
                  <c:v>5.0</c:v>
                </c:pt>
                <c:pt idx="133">
                  <c:v>13.0</c:v>
                </c:pt>
                <c:pt idx="134">
                  <c:v>6.0</c:v>
                </c:pt>
                <c:pt idx="135">
                  <c:v>3.0</c:v>
                </c:pt>
                <c:pt idx="136">
                  <c:v>5.0</c:v>
                </c:pt>
                <c:pt idx="137">
                  <c:v>26.0</c:v>
                </c:pt>
                <c:pt idx="138">
                  <c:v>2.8</c:v>
                </c:pt>
                <c:pt idx="139">
                  <c:v>2.0</c:v>
                </c:pt>
                <c:pt idx="140">
                  <c:v>7.0</c:v>
                </c:pt>
                <c:pt idx="141">
                  <c:v>17.6</c:v>
                </c:pt>
                <c:pt idx="142">
                  <c:v>18.0</c:v>
                </c:pt>
                <c:pt idx="143">
                  <c:v>17.0</c:v>
                </c:pt>
                <c:pt idx="144">
                  <c:v>17.0</c:v>
                </c:pt>
                <c:pt idx="145">
                  <c:v>5.0</c:v>
                </c:pt>
                <c:pt idx="146">
                  <c:v>10.0</c:v>
                </c:pt>
                <c:pt idx="147">
                  <c:v>0.5</c:v>
                </c:pt>
                <c:pt idx="148">
                  <c:v>12.0</c:v>
                </c:pt>
                <c:pt idx="149">
                  <c:v>2.0</c:v>
                </c:pt>
                <c:pt idx="150">
                  <c:v>5.0</c:v>
                </c:pt>
                <c:pt idx="151">
                  <c:v>9.0</c:v>
                </c:pt>
                <c:pt idx="152">
                  <c:v>4.0</c:v>
                </c:pt>
                <c:pt idx="153">
                  <c:v>7.0</c:v>
                </c:pt>
                <c:pt idx="154">
                  <c:v>4.0</c:v>
                </c:pt>
                <c:pt idx="155">
                  <c:v>12.0</c:v>
                </c:pt>
                <c:pt idx="156">
                  <c:v>2.0</c:v>
                </c:pt>
                <c:pt idx="157">
                  <c:v>10.0</c:v>
                </c:pt>
                <c:pt idx="158">
                  <c:v>25.0</c:v>
                </c:pt>
                <c:pt idx="159">
                  <c:v>2.5</c:v>
                </c:pt>
                <c:pt idx="160">
                  <c:v>16.0</c:v>
                </c:pt>
                <c:pt idx="161">
                  <c:v>1.0</c:v>
                </c:pt>
                <c:pt idx="162">
                  <c:v>20.0</c:v>
                </c:pt>
                <c:pt idx="163">
                  <c:v>5.0</c:v>
                </c:pt>
                <c:pt idx="164">
                  <c:v>3.0</c:v>
                </c:pt>
                <c:pt idx="165">
                  <c:v>20.0</c:v>
                </c:pt>
                <c:pt idx="166">
                  <c:v>20.6</c:v>
                </c:pt>
                <c:pt idx="167">
                  <c:v>19.0</c:v>
                </c:pt>
                <c:pt idx="168">
                  <c:v>13.2</c:v>
                </c:pt>
                <c:pt idx="169">
                  <c:v>9.2</c:v>
                </c:pt>
                <c:pt idx="170">
                  <c:v>5.0</c:v>
                </c:pt>
                <c:pt idx="171">
                  <c:v>5.0</c:v>
                </c:pt>
                <c:pt idx="172">
                  <c:v>22.0</c:v>
                </c:pt>
                <c:pt idx="173">
                  <c:v>20.0</c:v>
                </c:pt>
                <c:pt idx="174">
                  <c:v>15.0</c:v>
                </c:pt>
                <c:pt idx="175">
                  <c:v>9.5</c:v>
                </c:pt>
                <c:pt idx="176">
                  <c:v>3.0</c:v>
                </c:pt>
                <c:pt idx="177">
                  <c:v>2.0</c:v>
                </c:pt>
                <c:pt idx="178">
                  <c:v>3.0</c:v>
                </c:pt>
                <c:pt idx="179">
                  <c:v>3.0</c:v>
                </c:pt>
                <c:pt idx="180">
                  <c:v>22.0</c:v>
                </c:pt>
                <c:pt idx="181">
                  <c:v>18.0</c:v>
                </c:pt>
                <c:pt idx="182">
                  <c:v>48.7</c:v>
                </c:pt>
                <c:pt idx="183">
                  <c:v>5.0</c:v>
                </c:pt>
                <c:pt idx="184">
                  <c:v>15.0</c:v>
                </c:pt>
                <c:pt idx="185">
                  <c:v>4.9</c:v>
                </c:pt>
                <c:pt idx="186">
                  <c:v>10.0</c:v>
                </c:pt>
                <c:pt idx="187">
                  <c:v>11.8</c:v>
                </c:pt>
                <c:pt idx="188">
                  <c:v>13.6</c:v>
                </c:pt>
                <c:pt idx="189">
                  <c:v>17.1</c:v>
                </c:pt>
                <c:pt idx="190">
                  <c:v>16.7</c:v>
                </c:pt>
                <c:pt idx="191">
                  <c:v>21.0</c:v>
                </c:pt>
                <c:pt idx="192">
                  <c:v>9.0</c:v>
                </c:pt>
                <c:pt idx="193">
                  <c:v>20.0</c:v>
                </c:pt>
                <c:pt idx="194">
                  <c:v>2.5</c:v>
                </c:pt>
                <c:pt idx="195">
                  <c:v>2.2</c:v>
                </c:pt>
                <c:pt idx="196">
                  <c:v>8.0</c:v>
                </c:pt>
                <c:pt idx="197">
                  <c:v>2.0</c:v>
                </c:pt>
                <c:pt idx="198">
                  <c:v>16.0</c:v>
                </c:pt>
                <c:pt idx="199">
                  <c:v>10.0</c:v>
                </c:pt>
                <c:pt idx="200">
                  <c:v>11.0</c:v>
                </c:pt>
                <c:pt idx="201">
                  <c:v>4.0</c:v>
                </c:pt>
                <c:pt idx="202">
                  <c:v>9.5</c:v>
                </c:pt>
                <c:pt idx="203">
                  <c:v>10.0</c:v>
                </c:pt>
                <c:pt idx="204">
                  <c:v>7.0</c:v>
                </c:pt>
                <c:pt idx="205">
                  <c:v>8.0</c:v>
                </c:pt>
                <c:pt idx="206">
                  <c:v>28.0</c:v>
                </c:pt>
                <c:pt idx="207">
                  <c:v>5.0</c:v>
                </c:pt>
                <c:pt idx="208">
                  <c:v>5.0</c:v>
                </c:pt>
                <c:pt idx="209">
                  <c:v>5.0</c:v>
                </c:pt>
                <c:pt idx="210">
                  <c:v>6.0</c:v>
                </c:pt>
                <c:pt idx="211">
                  <c:v>12.0</c:v>
                </c:pt>
                <c:pt idx="212">
                  <c:v>6.0</c:v>
                </c:pt>
                <c:pt idx="213">
                  <c:v>7.0</c:v>
                </c:pt>
                <c:pt idx="214">
                  <c:v>7.0</c:v>
                </c:pt>
                <c:pt idx="215">
                  <c:v>3.5</c:v>
                </c:pt>
                <c:pt idx="216">
                  <c:v>6.0</c:v>
                </c:pt>
                <c:pt idx="217">
                  <c:v>2.4</c:v>
                </c:pt>
                <c:pt idx="218">
                  <c:v>0.8</c:v>
                </c:pt>
                <c:pt idx="219">
                  <c:v>7.0</c:v>
                </c:pt>
                <c:pt idx="220">
                  <c:v>10.7</c:v>
                </c:pt>
                <c:pt idx="221">
                  <c:v>2.5</c:v>
                </c:pt>
                <c:pt idx="222">
                  <c:v>5.0</c:v>
                </c:pt>
                <c:pt idx="223">
                  <c:v>17.2</c:v>
                </c:pt>
                <c:pt idx="224">
                  <c:v>6.0</c:v>
                </c:pt>
                <c:pt idx="225">
                  <c:v>2.5</c:v>
                </c:pt>
                <c:pt idx="226">
                  <c:v>12.7</c:v>
                </c:pt>
                <c:pt idx="227">
                  <c:v>11.0</c:v>
                </c:pt>
                <c:pt idx="228">
                  <c:v>7.0</c:v>
                </c:pt>
                <c:pt idx="229">
                  <c:v>4.0</c:v>
                </c:pt>
                <c:pt idx="230">
                  <c:v>4.5</c:v>
                </c:pt>
                <c:pt idx="231">
                  <c:v>5.0</c:v>
                </c:pt>
                <c:pt idx="232">
                  <c:v>2.0</c:v>
                </c:pt>
                <c:pt idx="233">
                  <c:v>4.0</c:v>
                </c:pt>
                <c:pt idx="234">
                  <c:v>8.0</c:v>
                </c:pt>
                <c:pt idx="235">
                  <c:v>20.0</c:v>
                </c:pt>
                <c:pt idx="236">
                  <c:v>33.0</c:v>
                </c:pt>
                <c:pt idx="237">
                  <c:v>21.8</c:v>
                </c:pt>
                <c:pt idx="238">
                  <c:v>6.0</c:v>
                </c:pt>
                <c:pt idx="239">
                  <c:v>13.0</c:v>
                </c:pt>
                <c:pt idx="240">
                  <c:v>17.0</c:v>
                </c:pt>
                <c:pt idx="241">
                  <c:v>15.0</c:v>
                </c:pt>
                <c:pt idx="242">
                  <c:v>1.5</c:v>
                </c:pt>
                <c:pt idx="243">
                  <c:v>2.4</c:v>
                </c:pt>
                <c:pt idx="244">
                  <c:v>17.0</c:v>
                </c:pt>
                <c:pt idx="245">
                  <c:v>5.0</c:v>
                </c:pt>
                <c:pt idx="246">
                  <c:v>3.0</c:v>
                </c:pt>
                <c:pt idx="247">
                  <c:v>12.0</c:v>
                </c:pt>
                <c:pt idx="248">
                  <c:v>19.6</c:v>
                </c:pt>
                <c:pt idx="249">
                  <c:v>0.2</c:v>
                </c:pt>
                <c:pt idx="250">
                  <c:v>2.0</c:v>
                </c:pt>
                <c:pt idx="251">
                  <c:v>1.2</c:v>
                </c:pt>
                <c:pt idx="252">
                  <c:v>1.3</c:v>
                </c:pt>
                <c:pt idx="253">
                  <c:v>1.3</c:v>
                </c:pt>
                <c:pt idx="254">
                  <c:v>0.6</c:v>
                </c:pt>
                <c:pt idx="255">
                  <c:v>10.0</c:v>
                </c:pt>
                <c:pt idx="256">
                  <c:v>4.5</c:v>
                </c:pt>
                <c:pt idx="257">
                  <c:v>18.0</c:v>
                </c:pt>
                <c:pt idx="258">
                  <c:v>14.0</c:v>
                </c:pt>
                <c:pt idx="259">
                  <c:v>10.0</c:v>
                </c:pt>
                <c:pt idx="260">
                  <c:v>2.0</c:v>
                </c:pt>
                <c:pt idx="261">
                  <c:v>9.0</c:v>
                </c:pt>
                <c:pt idx="262">
                  <c:v>6.0</c:v>
                </c:pt>
                <c:pt idx="263">
                  <c:v>20.0</c:v>
                </c:pt>
                <c:pt idx="264">
                  <c:v>2.0</c:v>
                </c:pt>
                <c:pt idx="265">
                  <c:v>25.0</c:v>
                </c:pt>
                <c:pt idx="266">
                  <c:v>12.0</c:v>
                </c:pt>
                <c:pt idx="267">
                  <c:v>8.0</c:v>
                </c:pt>
                <c:pt idx="268">
                  <c:v>3.2</c:v>
                </c:pt>
                <c:pt idx="269">
                  <c:v>1.4</c:v>
                </c:pt>
                <c:pt idx="270">
                  <c:v>7.7</c:v>
                </c:pt>
                <c:pt idx="271">
                  <c:v>1.0</c:v>
                </c:pt>
                <c:pt idx="272">
                  <c:v>9.6</c:v>
                </c:pt>
                <c:pt idx="273">
                  <c:v>5.0</c:v>
                </c:pt>
                <c:pt idx="274">
                  <c:v>1.0</c:v>
                </c:pt>
                <c:pt idx="275">
                  <c:v>11.0</c:v>
                </c:pt>
                <c:pt idx="276">
                  <c:v>8.0</c:v>
                </c:pt>
                <c:pt idx="277">
                  <c:v>6.0</c:v>
                </c:pt>
                <c:pt idx="278">
                  <c:v>8.0</c:v>
                </c:pt>
                <c:pt idx="279">
                  <c:v>6.5</c:v>
                </c:pt>
                <c:pt idx="280">
                  <c:v>13.0</c:v>
                </c:pt>
                <c:pt idx="281">
                  <c:v>20.0</c:v>
                </c:pt>
                <c:pt idx="282">
                  <c:v>8.0</c:v>
                </c:pt>
                <c:pt idx="283">
                  <c:v>3.0</c:v>
                </c:pt>
                <c:pt idx="284">
                  <c:v>4.0</c:v>
                </c:pt>
                <c:pt idx="285">
                  <c:v>22.0</c:v>
                </c:pt>
                <c:pt idx="286">
                  <c:v>30.0</c:v>
                </c:pt>
                <c:pt idx="287">
                  <c:v>23.0</c:v>
                </c:pt>
                <c:pt idx="288">
                  <c:v>18.0</c:v>
                </c:pt>
                <c:pt idx="289">
                  <c:v>11.0</c:v>
                </c:pt>
                <c:pt idx="290">
                  <c:v>13.0</c:v>
                </c:pt>
                <c:pt idx="291">
                  <c:v>13.5</c:v>
                </c:pt>
                <c:pt idx="292">
                  <c:v>16.0</c:v>
                </c:pt>
                <c:pt idx="293">
                  <c:v>8.0</c:v>
                </c:pt>
                <c:pt idx="294">
                  <c:v>10.0</c:v>
                </c:pt>
                <c:pt idx="295">
                  <c:v>13.1</c:v>
                </c:pt>
                <c:pt idx="296">
                  <c:v>9.25</c:v>
                </c:pt>
                <c:pt idx="297">
                  <c:v>3.0</c:v>
                </c:pt>
                <c:pt idx="298">
                  <c:v>15.0</c:v>
                </c:pt>
                <c:pt idx="299">
                  <c:v>8.0</c:v>
                </c:pt>
                <c:pt idx="300">
                  <c:v>21.0</c:v>
                </c:pt>
                <c:pt idx="301">
                  <c:v>2.4</c:v>
                </c:pt>
                <c:pt idx="302">
                  <c:v>3.5</c:v>
                </c:pt>
                <c:pt idx="303">
                  <c:v>16.0</c:v>
                </c:pt>
                <c:pt idx="304">
                  <c:v>29.0</c:v>
                </c:pt>
                <c:pt idx="305">
                  <c:v>6.0</c:v>
                </c:pt>
                <c:pt idx="306">
                  <c:v>6.0</c:v>
                </c:pt>
                <c:pt idx="307">
                  <c:v>1.5</c:v>
                </c:pt>
                <c:pt idx="308">
                  <c:v>28.0</c:v>
                </c:pt>
                <c:pt idx="309">
                  <c:v>7.0</c:v>
                </c:pt>
                <c:pt idx="310">
                  <c:v>9.0</c:v>
                </c:pt>
                <c:pt idx="311">
                  <c:v>4.0</c:v>
                </c:pt>
                <c:pt idx="312">
                  <c:v>1.5</c:v>
                </c:pt>
                <c:pt idx="313">
                  <c:v>3.1</c:v>
                </c:pt>
                <c:pt idx="314">
                  <c:v>40.0</c:v>
                </c:pt>
                <c:pt idx="315">
                  <c:v>26.0</c:v>
                </c:pt>
                <c:pt idx="316">
                  <c:v>8.0</c:v>
                </c:pt>
                <c:pt idx="317">
                  <c:v>40.0</c:v>
                </c:pt>
                <c:pt idx="318">
                  <c:v>17.0</c:v>
                </c:pt>
                <c:pt idx="319">
                  <c:v>9.0</c:v>
                </c:pt>
                <c:pt idx="320">
                  <c:v>20.0</c:v>
                </c:pt>
                <c:pt idx="321">
                  <c:v>5.0</c:v>
                </c:pt>
                <c:pt idx="322">
                  <c:v>6.0</c:v>
                </c:pt>
                <c:pt idx="323">
                  <c:v>10.0</c:v>
                </c:pt>
                <c:pt idx="324">
                  <c:v>2.0</c:v>
                </c:pt>
                <c:pt idx="325">
                  <c:v>5.0</c:v>
                </c:pt>
                <c:pt idx="326">
                  <c:v>4.5</c:v>
                </c:pt>
                <c:pt idx="327">
                  <c:v>9.0</c:v>
                </c:pt>
                <c:pt idx="328">
                  <c:v>4.5</c:v>
                </c:pt>
                <c:pt idx="329">
                  <c:v>12.0</c:v>
                </c:pt>
                <c:pt idx="330">
                  <c:v>2.0</c:v>
                </c:pt>
                <c:pt idx="331">
                  <c:v>12.0</c:v>
                </c:pt>
                <c:pt idx="332">
                  <c:v>8.0</c:v>
                </c:pt>
                <c:pt idx="333">
                  <c:v>12.0</c:v>
                </c:pt>
                <c:pt idx="334">
                  <c:v>5.0</c:v>
                </c:pt>
                <c:pt idx="335">
                  <c:v>6.0</c:v>
                </c:pt>
                <c:pt idx="336">
                  <c:v>12.0</c:v>
                </c:pt>
                <c:pt idx="337">
                  <c:v>3.0</c:v>
                </c:pt>
                <c:pt idx="338">
                  <c:v>3.0</c:v>
                </c:pt>
                <c:pt idx="339">
                  <c:v>9.0</c:v>
                </c:pt>
                <c:pt idx="340">
                  <c:v>7.0</c:v>
                </c:pt>
                <c:pt idx="341">
                  <c:v>5.0</c:v>
                </c:pt>
                <c:pt idx="342">
                  <c:v>6.7</c:v>
                </c:pt>
                <c:pt idx="343">
                  <c:v>6.6</c:v>
                </c:pt>
                <c:pt idx="344">
                  <c:v>6.0</c:v>
                </c:pt>
                <c:pt idx="345">
                  <c:v>8.0</c:v>
                </c:pt>
                <c:pt idx="346">
                  <c:v>25.0</c:v>
                </c:pt>
                <c:pt idx="347">
                  <c:v>1.3</c:v>
                </c:pt>
                <c:pt idx="348">
                  <c:v>20.0</c:v>
                </c:pt>
                <c:pt idx="349">
                  <c:v>24.7</c:v>
                </c:pt>
                <c:pt idx="350">
                  <c:v>22.0</c:v>
                </c:pt>
                <c:pt idx="351">
                  <c:v>11.0</c:v>
                </c:pt>
                <c:pt idx="352">
                  <c:v>11.0</c:v>
                </c:pt>
                <c:pt idx="353">
                  <c:v>6.0</c:v>
                </c:pt>
                <c:pt idx="354">
                  <c:v>6.0</c:v>
                </c:pt>
                <c:pt idx="355">
                  <c:v>6.2</c:v>
                </c:pt>
                <c:pt idx="356">
                  <c:v>6.6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F0-4D40-8EDD-CD14E2541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69048"/>
        <c:axId val="-2127380024"/>
      </c:scatterChart>
      <c:valAx>
        <c:axId val="-2127469048"/>
        <c:scaling>
          <c:logBase val="10.0"/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380024"/>
        <c:crosses val="autoZero"/>
        <c:crossBetween val="midCat"/>
      </c:valAx>
      <c:valAx>
        <c:axId val="-2127380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469048"/>
        <c:crossesAt val="0.00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552450</xdr:colOff>
      <xdr:row>4</xdr:row>
      <xdr:rowOff>0</xdr:rowOff>
    </xdr:from>
    <xdr:to>
      <xdr:col>26</xdr:col>
      <xdr:colOff>615950</xdr:colOff>
      <xdr:row>17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AD4E422-E646-E944-A0DA-116405435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8"/>
  <sheetViews>
    <sheetView tabSelected="1" zoomScale="200" zoomScaleNormal="200" zoomScalePageLayoutView="2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5" sqref="C5"/>
    </sheetView>
  </sheetViews>
  <sheetFormatPr baseColWidth="10" defaultRowHeight="15" x14ac:dyDescent="0"/>
  <cols>
    <col min="1" max="1" width="5.5" style="3" customWidth="1"/>
    <col min="2" max="2" width="22.1640625" style="3" customWidth="1"/>
    <col min="3" max="3" width="25.6640625" style="3" customWidth="1"/>
    <col min="4" max="4" width="9" style="3" bestFit="1" customWidth="1"/>
    <col min="5" max="5" width="14.83203125" style="3" bestFit="1" customWidth="1"/>
    <col min="6" max="6" width="19.5" style="3" bestFit="1" customWidth="1"/>
    <col min="7" max="7" width="6.1640625" style="3" hidden="1" customWidth="1"/>
    <col min="8" max="8" width="19.6640625" style="3" customWidth="1"/>
    <col min="9" max="9" width="21.83203125" style="3" customWidth="1"/>
    <col min="10" max="10" width="17" style="3" customWidth="1"/>
    <col min="11" max="18" width="10.83203125" style="3"/>
    <col min="19" max="19" width="5.83203125" style="3" customWidth="1"/>
    <col min="20" max="22" width="10.83203125" style="3"/>
  </cols>
  <sheetData>
    <row r="1" spans="1:1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>
      <c r="A2" s="3">
        <v>1</v>
      </c>
      <c r="B2" s="4" t="s">
        <v>19</v>
      </c>
      <c r="C2" s="3" t="s">
        <v>20</v>
      </c>
      <c r="D2" s="3" t="s">
        <v>21</v>
      </c>
      <c r="E2" s="3">
        <v>1.4</v>
      </c>
      <c r="F2" s="3">
        <v>28.4</v>
      </c>
      <c r="H2" s="5" t="s">
        <v>22</v>
      </c>
      <c r="I2" s="3" t="s">
        <v>23</v>
      </c>
      <c r="J2" s="3" t="s">
        <v>24</v>
      </c>
      <c r="M2" s="6"/>
      <c r="N2" s="6"/>
    </row>
    <row r="3" spans="1:19">
      <c r="A3" s="3">
        <v>2</v>
      </c>
      <c r="B3" s="4" t="s">
        <v>25</v>
      </c>
      <c r="C3" s="3" t="s">
        <v>26</v>
      </c>
      <c r="D3" s="3" t="s">
        <v>21</v>
      </c>
      <c r="E3" s="3">
        <v>1.6</v>
      </c>
      <c r="F3" s="3">
        <v>21.6</v>
      </c>
      <c r="H3" s="5" t="s">
        <v>27</v>
      </c>
      <c r="I3" s="3" t="s">
        <v>23</v>
      </c>
      <c r="J3" s="3" t="s">
        <v>24</v>
      </c>
      <c r="M3" s="6"/>
      <c r="N3" s="6"/>
    </row>
    <row r="4" spans="1:19">
      <c r="A4" s="3">
        <v>3</v>
      </c>
      <c r="B4" s="4" t="s">
        <v>28</v>
      </c>
      <c r="C4" s="3" t="s">
        <v>29</v>
      </c>
      <c r="D4" s="3" t="s">
        <v>21</v>
      </c>
      <c r="E4" s="3">
        <f>(2.8+2)/2</f>
        <v>2.4</v>
      </c>
      <c r="F4" s="3">
        <v>28.4</v>
      </c>
      <c r="H4" s="5" t="s">
        <v>22</v>
      </c>
      <c r="I4" s="3" t="s">
        <v>23</v>
      </c>
      <c r="J4" s="3" t="s">
        <v>24</v>
      </c>
      <c r="M4" s="6"/>
      <c r="N4" s="6"/>
    </row>
    <row r="5" spans="1:19">
      <c r="A5" s="3">
        <v>4</v>
      </c>
      <c r="B5" s="4" t="s">
        <v>30</v>
      </c>
      <c r="C5" s="3" t="s">
        <v>31</v>
      </c>
      <c r="D5" s="3" t="s">
        <v>32</v>
      </c>
      <c r="E5" s="3">
        <v>48</v>
      </c>
      <c r="F5" s="3">
        <v>6</v>
      </c>
      <c r="H5" s="5" t="s">
        <v>33</v>
      </c>
      <c r="I5" s="3" t="s">
        <v>34</v>
      </c>
      <c r="J5" s="3" t="s">
        <v>35</v>
      </c>
      <c r="M5" s="6"/>
      <c r="N5" s="6"/>
    </row>
    <row r="6" spans="1:19">
      <c r="A6" s="3">
        <v>5</v>
      </c>
      <c r="B6" s="4" t="s">
        <v>36</v>
      </c>
      <c r="C6" s="3" t="s">
        <v>37</v>
      </c>
      <c r="D6" s="3" t="s">
        <v>32</v>
      </c>
      <c r="E6" s="3">
        <v>3.2000000000000001E-2</v>
      </c>
      <c r="F6" s="3">
        <v>3</v>
      </c>
      <c r="H6" s="5" t="s">
        <v>38</v>
      </c>
      <c r="I6" s="3" t="s">
        <v>39</v>
      </c>
      <c r="J6" s="3" t="s">
        <v>40</v>
      </c>
      <c r="M6" s="6"/>
      <c r="N6" s="6"/>
    </row>
    <row r="7" spans="1:19">
      <c r="A7" s="3">
        <v>6</v>
      </c>
      <c r="B7" s="4" t="s">
        <v>41</v>
      </c>
      <c r="C7" s="3" t="s">
        <v>42</v>
      </c>
      <c r="D7" s="3" t="s">
        <v>43</v>
      </c>
      <c r="E7" s="3">
        <v>250</v>
      </c>
      <c r="F7" s="3">
        <v>18.8</v>
      </c>
      <c r="H7" s="5" t="s">
        <v>44</v>
      </c>
      <c r="I7" s="3" t="s">
        <v>45</v>
      </c>
      <c r="J7" s="3" t="s">
        <v>46</v>
      </c>
    </row>
    <row r="8" spans="1:19">
      <c r="A8" s="3">
        <v>7</v>
      </c>
      <c r="B8" s="4" t="s">
        <v>47</v>
      </c>
      <c r="C8" s="3" t="s">
        <v>48</v>
      </c>
      <c r="D8" s="3" t="s">
        <v>21</v>
      </c>
      <c r="E8" s="3">
        <v>9.0999999999999998E-2</v>
      </c>
      <c r="F8" s="3">
        <v>8</v>
      </c>
      <c r="G8" s="3">
        <v>0.4</v>
      </c>
      <c r="H8" s="5" t="s">
        <v>49</v>
      </c>
      <c r="I8" s="3" t="s">
        <v>50</v>
      </c>
      <c r="J8" s="3" t="s">
        <v>51</v>
      </c>
    </row>
    <row r="9" spans="1:19">
      <c r="A9" s="3">
        <v>8</v>
      </c>
      <c r="B9" s="4" t="s">
        <v>52</v>
      </c>
      <c r="C9" s="3" t="s">
        <v>53</v>
      </c>
      <c r="D9" s="3" t="s">
        <v>21</v>
      </c>
      <c r="E9" s="3">
        <v>4.5999999999999999E-2</v>
      </c>
      <c r="F9" s="3">
        <v>10.7</v>
      </c>
      <c r="H9" s="5" t="s">
        <v>54</v>
      </c>
      <c r="I9" s="3" t="s">
        <v>55</v>
      </c>
      <c r="J9" s="3" t="s">
        <v>56</v>
      </c>
      <c r="L9" s="3">
        <v>454</v>
      </c>
      <c r="M9" s="3">
        <v>28</v>
      </c>
      <c r="N9" s="7">
        <f>44/60</f>
        <v>0.73333333333333328</v>
      </c>
    </row>
    <row r="10" spans="1:19">
      <c r="A10" s="3">
        <v>9</v>
      </c>
      <c r="B10" s="4" t="s">
        <v>57</v>
      </c>
      <c r="C10" s="3" t="s">
        <v>58</v>
      </c>
      <c r="D10" s="3" t="s">
        <v>43</v>
      </c>
      <c r="E10" s="3">
        <v>7</v>
      </c>
      <c r="F10" s="3">
        <v>15</v>
      </c>
      <c r="H10" s="5" t="s">
        <v>59</v>
      </c>
      <c r="I10" s="3" t="s">
        <v>60</v>
      </c>
      <c r="J10" s="3" t="s">
        <v>61</v>
      </c>
      <c r="L10" s="3">
        <v>360</v>
      </c>
      <c r="M10" s="6">
        <v>40</v>
      </c>
      <c r="N10" s="6"/>
      <c r="P10" s="3">
        <v>2</v>
      </c>
    </row>
    <row r="11" spans="1:19">
      <c r="A11" s="3">
        <v>10</v>
      </c>
      <c r="B11" s="4" t="s">
        <v>62</v>
      </c>
      <c r="C11" s="3" t="s">
        <v>63</v>
      </c>
      <c r="D11" s="3" t="s">
        <v>43</v>
      </c>
      <c r="E11" s="3">
        <v>5.2</v>
      </c>
      <c r="F11" s="3">
        <v>12</v>
      </c>
      <c r="H11" s="5" t="s">
        <v>64</v>
      </c>
      <c r="I11" s="3" t="s">
        <v>65</v>
      </c>
      <c r="J11" s="3" t="s">
        <v>66</v>
      </c>
    </row>
    <row r="12" spans="1:19">
      <c r="A12" s="3">
        <v>11</v>
      </c>
      <c r="B12" s="4" t="s">
        <v>67</v>
      </c>
      <c r="C12" s="3" t="s">
        <v>68</v>
      </c>
      <c r="D12" s="3" t="s">
        <v>43</v>
      </c>
      <c r="E12" s="3">
        <v>7</v>
      </c>
      <c r="F12" s="3">
        <v>18</v>
      </c>
      <c r="H12" s="5" t="s">
        <v>69</v>
      </c>
      <c r="I12" s="3" t="s">
        <v>70</v>
      </c>
      <c r="J12" s="3" t="s">
        <v>71</v>
      </c>
      <c r="L12" s="3">
        <v>811</v>
      </c>
      <c r="M12" s="6">
        <v>111.5</v>
      </c>
      <c r="N12" s="6"/>
    </row>
    <row r="13" spans="1:19">
      <c r="A13" s="3">
        <v>12</v>
      </c>
      <c r="B13" s="4" t="s">
        <v>72</v>
      </c>
      <c r="C13" s="3" t="s">
        <v>68</v>
      </c>
      <c r="D13" s="3" t="s">
        <v>43</v>
      </c>
      <c r="E13" s="3">
        <v>7</v>
      </c>
      <c r="F13" s="3">
        <v>17</v>
      </c>
      <c r="H13" s="5" t="s">
        <v>73</v>
      </c>
      <c r="I13" s="3" t="s">
        <v>74</v>
      </c>
      <c r="J13" s="3" t="s">
        <v>75</v>
      </c>
      <c r="L13" s="3">
        <v>439</v>
      </c>
      <c r="M13" s="6">
        <v>149</v>
      </c>
      <c r="N13" s="6">
        <v>20.399999999999999</v>
      </c>
    </row>
    <row r="14" spans="1:19">
      <c r="A14" s="3">
        <v>13</v>
      </c>
      <c r="B14" s="4" t="s">
        <v>76</v>
      </c>
      <c r="C14" s="3" t="s">
        <v>77</v>
      </c>
      <c r="D14" s="3" t="s">
        <v>43</v>
      </c>
      <c r="E14" s="3">
        <f>((14.4/2)+(11.1/2))/2</f>
        <v>6.375</v>
      </c>
      <c r="F14" s="3">
        <v>25</v>
      </c>
      <c r="H14" s="5" t="s">
        <v>78</v>
      </c>
      <c r="I14" s="3" t="s">
        <v>79</v>
      </c>
      <c r="J14" s="3" t="s">
        <v>80</v>
      </c>
      <c r="L14" s="3">
        <v>637</v>
      </c>
      <c r="M14" s="6">
        <v>239</v>
      </c>
      <c r="N14" s="6"/>
    </row>
    <row r="15" spans="1:19">
      <c r="A15" s="3">
        <v>14</v>
      </c>
      <c r="B15" s="4" t="s">
        <v>81</v>
      </c>
      <c r="C15" s="3" t="s">
        <v>82</v>
      </c>
      <c r="D15" s="3" t="s">
        <v>32</v>
      </c>
      <c r="E15" s="3">
        <v>0.93</v>
      </c>
      <c r="F15" s="3">
        <v>4</v>
      </c>
      <c r="H15" s="5" t="s">
        <v>83</v>
      </c>
      <c r="I15" s="3" t="s">
        <v>84</v>
      </c>
      <c r="J15" s="3" t="s">
        <v>85</v>
      </c>
    </row>
    <row r="16" spans="1:19">
      <c r="A16" s="3">
        <v>15</v>
      </c>
      <c r="B16" s="4" t="s">
        <v>86</v>
      </c>
      <c r="C16" s="3" t="s">
        <v>87</v>
      </c>
      <c r="D16" s="3" t="s">
        <v>32</v>
      </c>
      <c r="E16" s="3">
        <f>+(0.68+0.59)/2</f>
        <v>0.63500000000000001</v>
      </c>
      <c r="F16" s="3">
        <v>1.8</v>
      </c>
      <c r="H16" s="5" t="s">
        <v>88</v>
      </c>
      <c r="I16" s="3" t="s">
        <v>89</v>
      </c>
      <c r="J16" s="3" t="s">
        <v>90</v>
      </c>
      <c r="M16" s="6"/>
      <c r="N16" s="6"/>
    </row>
    <row r="17" spans="1:14">
      <c r="A17" s="3">
        <v>16</v>
      </c>
      <c r="B17" s="4" t="s">
        <v>91</v>
      </c>
      <c r="C17" s="3" t="s">
        <v>92</v>
      </c>
      <c r="D17" s="3" t="s">
        <v>32</v>
      </c>
      <c r="E17" s="3">
        <v>0.35</v>
      </c>
      <c r="F17" s="3">
        <v>3</v>
      </c>
      <c r="H17" s="5" t="s">
        <v>93</v>
      </c>
      <c r="I17" s="3" t="s">
        <v>94</v>
      </c>
      <c r="J17" s="3" t="s">
        <v>95</v>
      </c>
      <c r="M17" s="6"/>
      <c r="N17" s="6"/>
    </row>
    <row r="18" spans="1:14">
      <c r="A18" s="3">
        <v>17</v>
      </c>
      <c r="B18" s="4" t="s">
        <v>96</v>
      </c>
      <c r="C18" s="3" t="s">
        <v>97</v>
      </c>
      <c r="D18" s="3" t="s">
        <v>32</v>
      </c>
      <c r="E18" s="3">
        <f>(0.35+0.67)/2</f>
        <v>0.51</v>
      </c>
      <c r="F18" s="3">
        <v>1.8</v>
      </c>
      <c r="H18" s="5" t="s">
        <v>98</v>
      </c>
      <c r="I18" s="3" t="s">
        <v>99</v>
      </c>
      <c r="J18" s="3" t="s">
        <v>100</v>
      </c>
      <c r="K18" s="3" t="s">
        <v>101</v>
      </c>
      <c r="L18" s="3">
        <v>1000</v>
      </c>
      <c r="M18" s="6"/>
      <c r="N18" s="6"/>
    </row>
    <row r="19" spans="1:14">
      <c r="A19" s="3">
        <v>18</v>
      </c>
      <c r="B19" s="4" t="s">
        <v>102</v>
      </c>
      <c r="C19" s="3" t="s">
        <v>103</v>
      </c>
      <c r="D19" s="3" t="s">
        <v>32</v>
      </c>
      <c r="E19" s="3">
        <f>(0.76+1.6)/2</f>
        <v>1.1800000000000002</v>
      </c>
      <c r="F19" s="3">
        <v>7.8</v>
      </c>
      <c r="H19" s="5" t="s">
        <v>104</v>
      </c>
      <c r="I19" s="3" t="s">
        <v>105</v>
      </c>
      <c r="J19" s="3" t="s">
        <v>106</v>
      </c>
      <c r="M19" s="6"/>
      <c r="N19" s="6">
        <v>2.5</v>
      </c>
    </row>
    <row r="20" spans="1:14">
      <c r="A20" s="3">
        <v>19</v>
      </c>
      <c r="B20" s="4" t="s">
        <v>107</v>
      </c>
      <c r="C20" s="3" t="s">
        <v>108</v>
      </c>
      <c r="D20" s="3" t="s">
        <v>32</v>
      </c>
      <c r="E20" s="3">
        <v>1.22</v>
      </c>
      <c r="F20" s="3">
        <v>1.8</v>
      </c>
      <c r="H20" s="5" t="s">
        <v>88</v>
      </c>
      <c r="I20" s="3" t="s">
        <v>89</v>
      </c>
      <c r="J20" s="3" t="s">
        <v>90</v>
      </c>
      <c r="K20" s="3" t="s">
        <v>101</v>
      </c>
      <c r="L20" s="3">
        <v>750</v>
      </c>
      <c r="M20" s="6"/>
      <c r="N20" s="6"/>
    </row>
    <row r="21" spans="1:14">
      <c r="A21" s="3">
        <v>20</v>
      </c>
      <c r="B21" s="4" t="s">
        <v>109</v>
      </c>
      <c r="C21" s="3" t="s">
        <v>110</v>
      </c>
      <c r="D21" s="3" t="s">
        <v>32</v>
      </c>
      <c r="E21" s="3">
        <v>0.94</v>
      </c>
      <c r="F21" s="3">
        <v>1.73</v>
      </c>
      <c r="H21" s="5" t="s">
        <v>111</v>
      </c>
      <c r="I21" s="3" t="s">
        <v>112</v>
      </c>
      <c r="J21" s="3" t="s">
        <v>113</v>
      </c>
      <c r="M21" s="6"/>
      <c r="N21" s="6"/>
    </row>
    <row r="22" spans="1:14">
      <c r="A22" s="3">
        <v>21</v>
      </c>
      <c r="B22" s="4" t="s">
        <v>114</v>
      </c>
      <c r="C22" s="3" t="s">
        <v>115</v>
      </c>
      <c r="D22" s="3" t="s">
        <v>43</v>
      </c>
      <c r="E22" s="3">
        <v>2E-3</v>
      </c>
      <c r="F22" s="3">
        <v>3</v>
      </c>
      <c r="H22" s="5" t="s">
        <v>116</v>
      </c>
      <c r="I22" s="3" t="s">
        <v>117</v>
      </c>
      <c r="J22" s="3" t="s">
        <v>118</v>
      </c>
      <c r="M22" s="6"/>
      <c r="N22" s="6"/>
    </row>
    <row r="23" spans="1:14">
      <c r="A23" s="3">
        <v>22</v>
      </c>
      <c r="B23" s="4" t="s">
        <v>119</v>
      </c>
      <c r="C23" s="3" t="s">
        <v>115</v>
      </c>
      <c r="D23" s="3" t="s">
        <v>43</v>
      </c>
      <c r="E23" s="3">
        <v>4.0000000000000001E-3</v>
      </c>
      <c r="F23" s="3">
        <v>3</v>
      </c>
      <c r="H23" s="5" t="s">
        <v>116</v>
      </c>
      <c r="I23" s="3" t="s">
        <v>117</v>
      </c>
      <c r="J23" s="3" t="s">
        <v>118</v>
      </c>
      <c r="M23" s="6"/>
      <c r="N23" s="6"/>
    </row>
    <row r="24" spans="1:14">
      <c r="A24" s="3">
        <v>23</v>
      </c>
      <c r="B24" s="4" t="s">
        <v>120</v>
      </c>
      <c r="C24" s="3" t="s">
        <v>115</v>
      </c>
      <c r="D24" s="3" t="s">
        <v>43</v>
      </c>
      <c r="E24" s="3">
        <v>2.5000000000000001E-3</v>
      </c>
      <c r="F24" s="3">
        <v>3</v>
      </c>
      <c r="H24" s="5" t="s">
        <v>116</v>
      </c>
      <c r="I24" s="3" t="s">
        <v>117</v>
      </c>
      <c r="J24" s="3" t="s">
        <v>118</v>
      </c>
      <c r="M24" s="6"/>
      <c r="N24" s="6"/>
    </row>
    <row r="25" spans="1:14">
      <c r="A25" s="3">
        <v>24</v>
      </c>
      <c r="B25" s="4" t="s">
        <v>121</v>
      </c>
      <c r="C25" s="3" t="s">
        <v>115</v>
      </c>
      <c r="D25" s="3" t="s">
        <v>43</v>
      </c>
      <c r="E25" s="3">
        <v>4.4999999999999997E-3</v>
      </c>
      <c r="F25" s="3">
        <v>3</v>
      </c>
      <c r="H25" s="5" t="s">
        <v>116</v>
      </c>
      <c r="I25" s="3" t="s">
        <v>117</v>
      </c>
      <c r="J25" s="3" t="s">
        <v>118</v>
      </c>
      <c r="M25" s="6"/>
      <c r="N25" s="6"/>
    </row>
    <row r="26" spans="1:14">
      <c r="A26" s="3">
        <v>25</v>
      </c>
      <c r="B26" s="4" t="s">
        <v>122</v>
      </c>
      <c r="C26" s="3" t="s">
        <v>123</v>
      </c>
      <c r="D26" s="3" t="s">
        <v>21</v>
      </c>
      <c r="E26" s="3">
        <v>1.2</v>
      </c>
      <c r="F26" s="3">
        <v>28.4</v>
      </c>
      <c r="H26" s="5" t="s">
        <v>22</v>
      </c>
      <c r="I26" s="3" t="s">
        <v>23</v>
      </c>
      <c r="J26" s="3" t="s">
        <v>24</v>
      </c>
      <c r="M26" s="6"/>
      <c r="N26" s="6"/>
    </row>
    <row r="27" spans="1:14">
      <c r="A27" s="3">
        <v>26</v>
      </c>
      <c r="B27" s="4" t="s">
        <v>124</v>
      </c>
      <c r="C27" s="3" t="s">
        <v>125</v>
      </c>
      <c r="D27" s="3" t="s">
        <v>43</v>
      </c>
      <c r="E27" s="3">
        <v>2.9000000000000001E-2</v>
      </c>
      <c r="F27" s="3">
        <v>4.5</v>
      </c>
      <c r="H27" s="5" t="s">
        <v>126</v>
      </c>
      <c r="I27" s="3" t="s">
        <v>127</v>
      </c>
      <c r="J27" s="3" t="s">
        <v>128</v>
      </c>
      <c r="M27" s="6"/>
      <c r="N27" s="6"/>
    </row>
    <row r="28" spans="1:14">
      <c r="A28" s="3">
        <v>27</v>
      </c>
      <c r="B28" s="4" t="s">
        <v>129</v>
      </c>
      <c r="C28" s="3" t="s">
        <v>130</v>
      </c>
      <c r="D28" s="3" t="s">
        <v>21</v>
      </c>
      <c r="E28" s="3">
        <f>(0.79+0.69)/2</f>
        <v>0.74</v>
      </c>
      <c r="F28" s="3">
        <v>18</v>
      </c>
      <c r="H28" s="5" t="s">
        <v>131</v>
      </c>
      <c r="I28" s="3" t="s">
        <v>132</v>
      </c>
      <c r="J28" s="3" t="s">
        <v>133</v>
      </c>
      <c r="M28" s="6"/>
      <c r="N28" s="6"/>
    </row>
    <row r="29" spans="1:14">
      <c r="A29" s="3">
        <v>28</v>
      </c>
      <c r="B29" s="4" t="s">
        <v>134</v>
      </c>
      <c r="C29" s="3" t="s">
        <v>135</v>
      </c>
      <c r="D29" s="3" t="s">
        <v>32</v>
      </c>
      <c r="E29" s="3">
        <v>39</v>
      </c>
      <c r="F29" s="3">
        <v>1.5</v>
      </c>
      <c r="H29" s="5" t="s">
        <v>136</v>
      </c>
      <c r="I29" s="3" t="s">
        <v>137</v>
      </c>
      <c r="J29" s="3" t="s">
        <v>138</v>
      </c>
      <c r="M29" s="6"/>
      <c r="N29" s="6"/>
    </row>
    <row r="30" spans="1:14">
      <c r="A30" s="3">
        <v>29</v>
      </c>
      <c r="B30" s="4" t="s">
        <v>139</v>
      </c>
      <c r="C30" s="3" t="s">
        <v>140</v>
      </c>
      <c r="D30" s="3" t="s">
        <v>43</v>
      </c>
      <c r="E30" s="3">
        <v>1.4999999999999999E-2</v>
      </c>
      <c r="F30" s="3">
        <v>5</v>
      </c>
      <c r="H30" s="5"/>
      <c r="I30" s="3" t="s">
        <v>141</v>
      </c>
      <c r="J30" s="3" t="s">
        <v>142</v>
      </c>
      <c r="M30" s="6"/>
      <c r="N30" s="6"/>
    </row>
    <row r="31" spans="1:14">
      <c r="A31" s="3">
        <v>30</v>
      </c>
      <c r="B31" s="4" t="s">
        <v>143</v>
      </c>
      <c r="C31" s="3" t="s">
        <v>144</v>
      </c>
      <c r="D31" s="3" t="s">
        <v>43</v>
      </c>
      <c r="E31" s="3">
        <v>0.08</v>
      </c>
      <c r="F31" s="3">
        <v>9</v>
      </c>
      <c r="G31" s="3">
        <v>0.62</v>
      </c>
      <c r="H31" s="5" t="s">
        <v>145</v>
      </c>
      <c r="I31" s="3" t="s">
        <v>50</v>
      </c>
      <c r="J31" s="3" t="s">
        <v>51</v>
      </c>
      <c r="M31" s="6"/>
      <c r="N31" s="6"/>
    </row>
    <row r="32" spans="1:14">
      <c r="A32" s="3">
        <v>31</v>
      </c>
      <c r="B32" s="4" t="s">
        <v>146</v>
      </c>
      <c r="C32" s="3" t="s">
        <v>147</v>
      </c>
      <c r="D32" s="3" t="s">
        <v>43</v>
      </c>
      <c r="E32" s="3">
        <v>14.5</v>
      </c>
      <c r="F32" s="3">
        <v>16.7</v>
      </c>
      <c r="H32" s="5" t="s">
        <v>148</v>
      </c>
      <c r="I32" s="3" t="s">
        <v>149</v>
      </c>
      <c r="J32" s="3" t="s">
        <v>56</v>
      </c>
      <c r="M32" s="6"/>
      <c r="N32" s="6"/>
    </row>
    <row r="33" spans="1:19">
      <c r="A33" s="3">
        <v>32</v>
      </c>
      <c r="B33" s="4" t="s">
        <v>150</v>
      </c>
      <c r="C33" s="3" t="s">
        <v>151</v>
      </c>
      <c r="D33" s="3" t="s">
        <v>32</v>
      </c>
      <c r="E33" s="3">
        <v>0.02</v>
      </c>
      <c r="F33" s="3">
        <v>2</v>
      </c>
      <c r="H33" s="5" t="s">
        <v>152</v>
      </c>
      <c r="I33" s="3" t="s">
        <v>153</v>
      </c>
      <c r="J33" s="3" t="s">
        <v>154</v>
      </c>
    </row>
    <row r="34" spans="1:19">
      <c r="A34" s="3">
        <v>33</v>
      </c>
      <c r="B34" s="4" t="s">
        <v>155</v>
      </c>
      <c r="C34" s="3" t="s">
        <v>156</v>
      </c>
      <c r="D34" s="3" t="s">
        <v>32</v>
      </c>
      <c r="E34" s="8">
        <v>0.03</v>
      </c>
      <c r="F34" s="3">
        <v>3.5</v>
      </c>
      <c r="H34" s="5" t="s">
        <v>157</v>
      </c>
      <c r="I34" s="3" t="s">
        <v>158</v>
      </c>
      <c r="J34" s="3" t="s">
        <v>159</v>
      </c>
    </row>
    <row r="35" spans="1:19">
      <c r="A35" s="3">
        <v>34</v>
      </c>
      <c r="B35" s="4" t="s">
        <v>160</v>
      </c>
      <c r="C35" s="3" t="s">
        <v>161</v>
      </c>
      <c r="D35" s="3" t="s">
        <v>21</v>
      </c>
      <c r="E35" s="3">
        <v>4.3999999999999997E-2</v>
      </c>
      <c r="F35" s="3">
        <v>2</v>
      </c>
      <c r="H35" s="5" t="s">
        <v>162</v>
      </c>
      <c r="I35" s="3" t="s">
        <v>163</v>
      </c>
      <c r="J35" s="3" t="s">
        <v>164</v>
      </c>
      <c r="M35" s="6"/>
      <c r="N35" s="6"/>
    </row>
    <row r="36" spans="1:19">
      <c r="A36" s="3">
        <v>35</v>
      </c>
      <c r="B36" s="4" t="s">
        <v>165</v>
      </c>
      <c r="C36" s="3" t="s">
        <v>166</v>
      </c>
      <c r="D36" s="3" t="s">
        <v>21</v>
      </c>
      <c r="E36" s="3">
        <v>7.0000000000000007E-2</v>
      </c>
      <c r="F36" s="3">
        <v>3.2</v>
      </c>
      <c r="H36" s="5" t="s">
        <v>167</v>
      </c>
      <c r="I36" s="3" t="s">
        <v>168</v>
      </c>
      <c r="J36" s="3" t="s">
        <v>169</v>
      </c>
      <c r="M36" s="6"/>
      <c r="N36" s="6"/>
    </row>
    <row r="37" spans="1:19">
      <c r="A37" s="3">
        <v>36</v>
      </c>
      <c r="B37" s="4" t="s">
        <v>170</v>
      </c>
      <c r="C37" s="3" t="s">
        <v>171</v>
      </c>
      <c r="D37" s="3" t="s">
        <v>21</v>
      </c>
      <c r="E37" s="3">
        <f>(0.039+0.055)/2</f>
        <v>4.7E-2</v>
      </c>
      <c r="F37" s="3">
        <v>6</v>
      </c>
      <c r="H37" s="5" t="s">
        <v>172</v>
      </c>
      <c r="I37" s="3" t="s">
        <v>173</v>
      </c>
      <c r="J37" s="3" t="s">
        <v>174</v>
      </c>
      <c r="M37" s="6"/>
      <c r="N37" s="6"/>
    </row>
    <row r="38" spans="1:19">
      <c r="A38" s="3">
        <v>37</v>
      </c>
      <c r="B38" s="4" t="s">
        <v>175</v>
      </c>
      <c r="C38" s="3" t="s">
        <v>176</v>
      </c>
      <c r="D38" s="3" t="s">
        <v>32</v>
      </c>
      <c r="E38" s="3">
        <v>0.4</v>
      </c>
      <c r="F38" s="3">
        <v>0.8</v>
      </c>
      <c r="H38" s="5" t="s">
        <v>177</v>
      </c>
      <c r="I38" s="3" t="s">
        <v>178</v>
      </c>
      <c r="J38" s="3" t="s">
        <v>179</v>
      </c>
      <c r="M38" s="6"/>
      <c r="N38" s="6"/>
    </row>
    <row r="39" spans="1:19" ht="19" customHeight="1">
      <c r="A39" s="3">
        <v>38</v>
      </c>
      <c r="B39" s="4" t="s">
        <v>180</v>
      </c>
      <c r="C39" s="3" t="s">
        <v>181</v>
      </c>
      <c r="D39" s="3" t="s">
        <v>21</v>
      </c>
      <c r="E39" s="3">
        <v>8</v>
      </c>
      <c r="F39" s="3">
        <v>25</v>
      </c>
      <c r="H39" s="5" t="s">
        <v>182</v>
      </c>
      <c r="I39" s="3" t="s">
        <v>183</v>
      </c>
      <c r="J39" s="3" t="s">
        <v>184</v>
      </c>
      <c r="K39" s="3" t="s">
        <v>185</v>
      </c>
      <c r="L39" s="3">
        <v>453</v>
      </c>
      <c r="M39" s="6">
        <v>1281</v>
      </c>
      <c r="N39" s="6">
        <f>5+12/60</f>
        <v>5.2</v>
      </c>
    </row>
    <row r="40" spans="1:19">
      <c r="A40" s="3">
        <v>39</v>
      </c>
      <c r="B40" s="4" t="s">
        <v>186</v>
      </c>
      <c r="C40" s="3" t="s">
        <v>187</v>
      </c>
      <c r="D40" s="3" t="s">
        <v>21</v>
      </c>
      <c r="E40" s="3">
        <v>8</v>
      </c>
      <c r="F40" s="3">
        <v>18</v>
      </c>
      <c r="H40" s="5" t="s">
        <v>188</v>
      </c>
      <c r="I40" s="3" t="s">
        <v>189</v>
      </c>
      <c r="J40" s="3" t="s">
        <v>190</v>
      </c>
      <c r="K40" s="3" t="s">
        <v>191</v>
      </c>
      <c r="L40" s="3">
        <v>1500</v>
      </c>
      <c r="M40" s="3">
        <v>245</v>
      </c>
    </row>
    <row r="41" spans="1:19">
      <c r="A41" s="3">
        <v>40</v>
      </c>
      <c r="B41" s="4" t="s">
        <v>192</v>
      </c>
      <c r="C41" s="3" t="s">
        <v>181</v>
      </c>
      <c r="D41" s="3" t="s">
        <v>21</v>
      </c>
      <c r="E41" s="3">
        <v>7</v>
      </c>
      <c r="F41" s="3">
        <v>18</v>
      </c>
      <c r="H41" s="5" t="s">
        <v>69</v>
      </c>
      <c r="I41" s="3" t="s">
        <v>193</v>
      </c>
      <c r="J41" s="3" t="s">
        <v>75</v>
      </c>
      <c r="L41" s="3">
        <v>345</v>
      </c>
      <c r="M41" s="6"/>
      <c r="N41" s="6">
        <v>4.4000000000000004</v>
      </c>
    </row>
    <row r="42" spans="1:19">
      <c r="A42" s="3">
        <v>41</v>
      </c>
      <c r="B42" s="4" t="s">
        <v>194</v>
      </c>
      <c r="C42" s="3" t="s">
        <v>195</v>
      </c>
      <c r="D42" s="3" t="s">
        <v>21</v>
      </c>
      <c r="E42" s="3">
        <v>7.6</v>
      </c>
      <c r="F42" s="3">
        <v>19</v>
      </c>
      <c r="H42" s="5" t="s">
        <v>196</v>
      </c>
      <c r="I42" s="3" t="s">
        <v>197</v>
      </c>
      <c r="J42" s="3" t="s">
        <v>198</v>
      </c>
      <c r="M42" s="6"/>
      <c r="N42" s="6"/>
    </row>
    <row r="43" spans="1:19">
      <c r="A43" s="3">
        <v>42</v>
      </c>
      <c r="B43" s="4" t="s">
        <v>199</v>
      </c>
      <c r="C43" s="3" t="s">
        <v>181</v>
      </c>
      <c r="D43" s="3" t="s">
        <v>21</v>
      </c>
      <c r="E43" s="3">
        <v>9.5</v>
      </c>
      <c r="F43" s="3">
        <v>32</v>
      </c>
      <c r="H43" s="5" t="s">
        <v>200</v>
      </c>
      <c r="I43" s="3" t="s">
        <v>201</v>
      </c>
      <c r="J43" s="3" t="s">
        <v>202</v>
      </c>
      <c r="M43" s="6"/>
      <c r="N43" s="6"/>
    </row>
    <row r="44" spans="1:19">
      <c r="A44" s="3">
        <v>43</v>
      </c>
      <c r="B44" s="4" t="s">
        <v>203</v>
      </c>
      <c r="C44" s="3" t="s">
        <v>204</v>
      </c>
      <c r="D44" s="3" t="s">
        <v>32</v>
      </c>
      <c r="E44" s="3">
        <v>0.32500000000000001</v>
      </c>
      <c r="F44" s="3">
        <v>2</v>
      </c>
      <c r="H44" s="5" t="s">
        <v>205</v>
      </c>
      <c r="I44" s="3" t="s">
        <v>206</v>
      </c>
      <c r="J44" s="3" t="s">
        <v>207</v>
      </c>
      <c r="M44" s="6"/>
      <c r="N44" s="6"/>
    </row>
    <row r="45" spans="1:19">
      <c r="A45" s="3">
        <v>44</v>
      </c>
      <c r="B45" s="4" t="s">
        <v>208</v>
      </c>
      <c r="C45" s="3" t="s">
        <v>209</v>
      </c>
      <c r="D45" s="3" t="s">
        <v>21</v>
      </c>
      <c r="E45" s="3">
        <v>2.8000000000000001E-2</v>
      </c>
      <c r="F45" s="3">
        <v>6</v>
      </c>
      <c r="H45" s="5" t="s">
        <v>210</v>
      </c>
      <c r="I45" s="3" t="s">
        <v>211</v>
      </c>
      <c r="J45" s="3" t="s">
        <v>212</v>
      </c>
    </row>
    <row r="46" spans="1:19">
      <c r="A46" s="3">
        <v>45</v>
      </c>
      <c r="B46" s="4" t="s">
        <v>213</v>
      </c>
      <c r="C46" s="3" t="s">
        <v>214</v>
      </c>
      <c r="D46" s="3" t="s">
        <v>43</v>
      </c>
      <c r="E46" s="3">
        <v>0.112</v>
      </c>
      <c r="F46" s="3">
        <v>18</v>
      </c>
      <c r="H46" s="5" t="s">
        <v>215</v>
      </c>
      <c r="I46" s="3" t="s">
        <v>216</v>
      </c>
      <c r="J46" s="3" t="s">
        <v>217</v>
      </c>
      <c r="M46" s="6"/>
      <c r="N46" s="6"/>
    </row>
    <row r="47" spans="1:19">
      <c r="A47" s="3">
        <v>46</v>
      </c>
      <c r="B47" s="4" t="s">
        <v>218</v>
      </c>
      <c r="C47" s="3" t="s">
        <v>219</v>
      </c>
      <c r="D47" s="3" t="s">
        <v>32</v>
      </c>
      <c r="E47" s="3">
        <v>37</v>
      </c>
      <c r="F47" s="3">
        <v>3</v>
      </c>
      <c r="H47" s="5" t="s">
        <v>220</v>
      </c>
      <c r="I47" s="3" t="s">
        <v>221</v>
      </c>
      <c r="J47" s="3" t="s">
        <v>222</v>
      </c>
      <c r="M47" s="6"/>
      <c r="N47" s="6"/>
    </row>
    <row r="48" spans="1:19">
      <c r="A48" s="3">
        <v>47</v>
      </c>
      <c r="B48" s="4" t="s">
        <v>223</v>
      </c>
      <c r="C48" s="3" t="s">
        <v>224</v>
      </c>
      <c r="D48" s="3" t="s">
        <v>43</v>
      </c>
      <c r="E48" s="3">
        <v>0.14000000000000001</v>
      </c>
      <c r="F48" s="9">
        <v>15</v>
      </c>
      <c r="H48" s="5" t="s">
        <v>225</v>
      </c>
      <c r="I48" s="3" t="s">
        <v>226</v>
      </c>
      <c r="J48" s="3" t="s">
        <v>227</v>
      </c>
      <c r="M48" s="6"/>
      <c r="N48" s="6"/>
      <c r="S48" s="9"/>
    </row>
    <row r="49" spans="1:15">
      <c r="A49" s="3">
        <v>48</v>
      </c>
      <c r="B49" s="4" t="s">
        <v>228</v>
      </c>
      <c r="C49" s="3" t="s">
        <v>229</v>
      </c>
      <c r="D49" s="3" t="s">
        <v>32</v>
      </c>
      <c r="E49" s="3">
        <f>(725+450)/2</f>
        <v>587.5</v>
      </c>
      <c r="F49" s="3">
        <v>3</v>
      </c>
      <c r="H49" s="5" t="s">
        <v>230</v>
      </c>
      <c r="I49" s="3" t="s">
        <v>231</v>
      </c>
      <c r="J49" s="3" t="s">
        <v>232</v>
      </c>
    </row>
    <row r="50" spans="1:15">
      <c r="A50" s="3">
        <v>49</v>
      </c>
      <c r="B50" s="4" t="s">
        <v>233</v>
      </c>
      <c r="C50" s="3" t="s">
        <v>234</v>
      </c>
      <c r="D50" s="3" t="s">
        <v>32</v>
      </c>
      <c r="E50" s="3">
        <v>610</v>
      </c>
      <c r="F50" s="3">
        <v>5</v>
      </c>
      <c r="H50" s="5" t="s">
        <v>235</v>
      </c>
      <c r="I50" s="3" t="s">
        <v>236</v>
      </c>
      <c r="J50" s="3" t="s">
        <v>237</v>
      </c>
      <c r="M50" s="6"/>
      <c r="N50" s="6"/>
    </row>
    <row r="51" spans="1:15">
      <c r="A51" s="3">
        <v>50</v>
      </c>
      <c r="B51" s="4" t="s">
        <v>238</v>
      </c>
      <c r="C51" s="3" t="s">
        <v>239</v>
      </c>
      <c r="D51" s="3" t="s">
        <v>21</v>
      </c>
      <c r="E51" s="3">
        <v>3.2000000000000001E-2</v>
      </c>
      <c r="F51" s="3">
        <v>7</v>
      </c>
      <c r="H51" s="5" t="s">
        <v>240</v>
      </c>
      <c r="I51" s="3" t="s">
        <v>241</v>
      </c>
      <c r="J51" s="3" t="s">
        <v>242</v>
      </c>
      <c r="M51" s="6"/>
      <c r="N51" s="6"/>
    </row>
    <row r="52" spans="1:15">
      <c r="A52" s="3">
        <v>51</v>
      </c>
      <c r="B52" s="4" t="s">
        <v>243</v>
      </c>
      <c r="C52" s="3" t="s">
        <v>244</v>
      </c>
      <c r="D52" s="3" t="s">
        <v>32</v>
      </c>
      <c r="E52" s="3">
        <v>850</v>
      </c>
      <c r="F52" s="3">
        <v>7</v>
      </c>
      <c r="H52" s="5"/>
      <c r="I52" s="3" t="s">
        <v>245</v>
      </c>
      <c r="J52" s="3" t="s">
        <v>246</v>
      </c>
      <c r="M52" s="6"/>
      <c r="N52" s="6"/>
    </row>
    <row r="53" spans="1:15">
      <c r="A53" s="3">
        <v>52</v>
      </c>
      <c r="B53" s="4" t="s">
        <v>247</v>
      </c>
      <c r="C53" s="3" t="s">
        <v>248</v>
      </c>
      <c r="D53" s="3" t="s">
        <v>32</v>
      </c>
      <c r="E53" s="3">
        <f>2250/4</f>
        <v>562.5</v>
      </c>
      <c r="F53" s="3">
        <v>7</v>
      </c>
      <c r="H53" s="5" t="s">
        <v>249</v>
      </c>
      <c r="I53" s="3" t="s">
        <v>250</v>
      </c>
      <c r="J53" s="3" t="s">
        <v>251</v>
      </c>
      <c r="M53" s="6"/>
      <c r="N53" s="6"/>
    </row>
    <row r="54" spans="1:15">
      <c r="A54" s="3">
        <v>53</v>
      </c>
      <c r="B54" s="4" t="s">
        <v>252</v>
      </c>
      <c r="C54" s="3" t="s">
        <v>253</v>
      </c>
      <c r="D54" s="3" t="s">
        <v>43</v>
      </c>
      <c r="E54" s="3">
        <f>19/2</f>
        <v>9.5</v>
      </c>
      <c r="F54" s="3">
        <v>20</v>
      </c>
      <c r="H54" s="5" t="s">
        <v>254</v>
      </c>
      <c r="I54" s="3" t="s">
        <v>65</v>
      </c>
      <c r="J54" s="3" t="s">
        <v>66</v>
      </c>
      <c r="L54" s="3">
        <v>693</v>
      </c>
      <c r="M54" s="3">
        <v>169</v>
      </c>
    </row>
    <row r="55" spans="1:15">
      <c r="A55" s="3">
        <v>54</v>
      </c>
      <c r="B55" s="4" t="s">
        <v>255</v>
      </c>
      <c r="C55" s="3" t="s">
        <v>256</v>
      </c>
      <c r="D55" s="3" t="s">
        <v>32</v>
      </c>
      <c r="E55" s="3">
        <v>5.7</v>
      </c>
      <c r="F55" s="3">
        <v>2</v>
      </c>
      <c r="H55" s="5" t="s">
        <v>257</v>
      </c>
      <c r="I55" s="3" t="s">
        <v>258</v>
      </c>
      <c r="J55" s="3" t="s">
        <v>259</v>
      </c>
      <c r="M55" s="6"/>
      <c r="N55" s="6"/>
    </row>
    <row r="56" spans="1:15">
      <c r="A56" s="3">
        <v>55</v>
      </c>
      <c r="B56" s="4" t="s">
        <v>260</v>
      </c>
      <c r="C56" s="3" t="s">
        <v>261</v>
      </c>
      <c r="D56" s="3" t="s">
        <v>43</v>
      </c>
      <c r="E56" s="3">
        <v>1</v>
      </c>
      <c r="F56" s="3">
        <v>16.399999999999999</v>
      </c>
      <c r="H56" s="5" t="s">
        <v>262</v>
      </c>
      <c r="I56" s="3" t="s">
        <v>263</v>
      </c>
      <c r="J56" s="3" t="s">
        <v>264</v>
      </c>
      <c r="M56" s="6"/>
      <c r="N56" s="6"/>
    </row>
    <row r="57" spans="1:15">
      <c r="A57" s="3">
        <v>56</v>
      </c>
      <c r="B57" s="4" t="s">
        <v>265</v>
      </c>
      <c r="C57" s="3" t="s">
        <v>266</v>
      </c>
      <c r="D57" s="3" t="s">
        <v>43</v>
      </c>
      <c r="E57" s="3">
        <v>3.4</v>
      </c>
      <c r="F57" s="3">
        <v>13.5</v>
      </c>
      <c r="H57" s="5" t="s">
        <v>267</v>
      </c>
      <c r="I57" s="3" t="s">
        <v>263</v>
      </c>
      <c r="J57" s="3" t="s">
        <v>264</v>
      </c>
      <c r="M57" s="6"/>
      <c r="N57" s="6"/>
    </row>
    <row r="58" spans="1:15">
      <c r="A58" s="3">
        <v>57</v>
      </c>
      <c r="B58" s="4" t="s">
        <v>268</v>
      </c>
      <c r="C58" s="3" t="s">
        <v>269</v>
      </c>
      <c r="D58" s="3" t="s">
        <v>43</v>
      </c>
      <c r="E58" s="3">
        <v>4.4000000000000004</v>
      </c>
      <c r="F58" s="3">
        <v>16</v>
      </c>
      <c r="H58" s="5" t="s">
        <v>270</v>
      </c>
      <c r="I58" s="3" t="s">
        <v>263</v>
      </c>
      <c r="J58" s="3" t="s">
        <v>264</v>
      </c>
      <c r="M58" s="6"/>
      <c r="N58" s="6"/>
    </row>
    <row r="59" spans="1:15">
      <c r="A59" s="3">
        <v>58</v>
      </c>
      <c r="B59" s="4" t="s">
        <v>271</v>
      </c>
      <c r="C59" s="3" t="s">
        <v>272</v>
      </c>
      <c r="D59" s="3" t="s">
        <v>21</v>
      </c>
      <c r="E59" s="3">
        <v>2.6</v>
      </c>
      <c r="F59" s="3">
        <v>28.4</v>
      </c>
      <c r="H59" s="5" t="s">
        <v>22</v>
      </c>
      <c r="I59" s="3" t="s">
        <v>23</v>
      </c>
      <c r="J59" s="3" t="s">
        <v>24</v>
      </c>
      <c r="M59" s="6"/>
      <c r="N59" s="6"/>
    </row>
    <row r="60" spans="1:15">
      <c r="A60" s="3">
        <v>59</v>
      </c>
      <c r="B60" s="4" t="s">
        <v>273</v>
      </c>
      <c r="C60" s="3" t="s">
        <v>274</v>
      </c>
      <c r="D60" s="3" t="s">
        <v>21</v>
      </c>
      <c r="E60" s="3">
        <v>2.2000000000000002</v>
      </c>
      <c r="F60" s="3">
        <v>28.4</v>
      </c>
      <c r="H60" s="5" t="s">
        <v>22</v>
      </c>
      <c r="I60" s="3" t="s">
        <v>23</v>
      </c>
      <c r="J60" s="3" t="s">
        <v>24</v>
      </c>
      <c r="M60" s="6"/>
      <c r="N60" s="6"/>
    </row>
    <row r="61" spans="1:15">
      <c r="A61" s="3">
        <v>60</v>
      </c>
      <c r="B61" s="4" t="s">
        <v>275</v>
      </c>
      <c r="C61" s="3" t="s">
        <v>276</v>
      </c>
      <c r="D61" s="3" t="s">
        <v>21</v>
      </c>
      <c r="E61" s="3">
        <v>3</v>
      </c>
      <c r="F61" s="3">
        <v>19.3</v>
      </c>
      <c r="H61" s="5" t="s">
        <v>277</v>
      </c>
      <c r="I61" s="3" t="s">
        <v>23</v>
      </c>
      <c r="J61" s="3" t="s">
        <v>24</v>
      </c>
      <c r="M61" s="6"/>
      <c r="N61" s="6"/>
    </row>
    <row r="62" spans="1:15">
      <c r="A62" s="3">
        <v>61</v>
      </c>
      <c r="B62" s="4" t="s">
        <v>278</v>
      </c>
      <c r="C62" s="3" t="s">
        <v>279</v>
      </c>
      <c r="D62" s="3" t="s">
        <v>21</v>
      </c>
      <c r="E62" s="3">
        <v>0.72499999999999998</v>
      </c>
      <c r="I62" s="3" t="s">
        <v>280</v>
      </c>
      <c r="J62" s="3" t="s">
        <v>281</v>
      </c>
      <c r="K62" s="3" t="s">
        <v>282</v>
      </c>
      <c r="L62" s="3">
        <v>14500</v>
      </c>
      <c r="M62" s="3">
        <v>512</v>
      </c>
      <c r="N62" s="3">
        <f>57/60</f>
        <v>0.95</v>
      </c>
      <c r="O62" s="3" t="s">
        <v>283</v>
      </c>
    </row>
    <row r="63" spans="1:15">
      <c r="A63" s="3">
        <v>62</v>
      </c>
      <c r="B63" s="4" t="s">
        <v>284</v>
      </c>
      <c r="C63" s="3" t="s">
        <v>285</v>
      </c>
      <c r="D63" s="3" t="s">
        <v>32</v>
      </c>
      <c r="E63" s="3">
        <v>3</v>
      </c>
      <c r="F63" s="3">
        <v>20</v>
      </c>
      <c r="H63" s="5" t="s">
        <v>286</v>
      </c>
      <c r="I63" s="3" t="s">
        <v>287</v>
      </c>
      <c r="J63" s="3" t="s">
        <v>288</v>
      </c>
      <c r="M63" s="6"/>
      <c r="N63" s="6"/>
    </row>
    <row r="64" spans="1:15">
      <c r="A64" s="3">
        <v>63</v>
      </c>
      <c r="B64" s="4" t="s">
        <v>289</v>
      </c>
      <c r="C64" s="3" t="s">
        <v>290</v>
      </c>
      <c r="D64" s="3" t="s">
        <v>43</v>
      </c>
      <c r="E64" s="3">
        <v>1.2</v>
      </c>
      <c r="F64" s="3">
        <v>7</v>
      </c>
      <c r="H64" s="5" t="s">
        <v>291</v>
      </c>
      <c r="I64" s="3" t="s">
        <v>292</v>
      </c>
      <c r="J64" s="3" t="s">
        <v>293</v>
      </c>
      <c r="M64" s="3">
        <f>(200+91+126)/3</f>
        <v>139</v>
      </c>
      <c r="N64" s="3">
        <f>(4.9+2.9+15.6)/3</f>
        <v>7.8</v>
      </c>
    </row>
    <row r="65" spans="1:17">
      <c r="A65" s="3">
        <v>64</v>
      </c>
      <c r="B65" s="4" t="s">
        <v>294</v>
      </c>
      <c r="C65" s="3" t="s">
        <v>295</v>
      </c>
      <c r="D65" s="3" t="s">
        <v>32</v>
      </c>
      <c r="E65" s="3">
        <v>0.27</v>
      </c>
      <c r="F65" s="3">
        <v>4</v>
      </c>
      <c r="H65" s="5" t="s">
        <v>296</v>
      </c>
      <c r="I65" s="3" t="s">
        <v>297</v>
      </c>
      <c r="J65" s="3" t="s">
        <v>298</v>
      </c>
    </row>
    <row r="66" spans="1:17">
      <c r="A66" s="3">
        <v>65</v>
      </c>
      <c r="B66" s="4" t="s">
        <v>299</v>
      </c>
      <c r="C66" s="3" t="s">
        <v>300</v>
      </c>
      <c r="D66" s="3" t="s">
        <v>21</v>
      </c>
      <c r="E66" s="3">
        <f>(0.39+0.14)/2</f>
        <v>0.26500000000000001</v>
      </c>
      <c r="F66" s="3">
        <v>5</v>
      </c>
      <c r="H66" s="5" t="s">
        <v>301</v>
      </c>
      <c r="I66" s="3" t="s">
        <v>302</v>
      </c>
      <c r="J66" s="3" t="s">
        <v>303</v>
      </c>
      <c r="M66" s="6"/>
      <c r="N66" s="6"/>
    </row>
    <row r="67" spans="1:17">
      <c r="A67" s="3">
        <v>66</v>
      </c>
      <c r="B67" s="4" t="s">
        <v>304</v>
      </c>
      <c r="C67" s="3" t="s">
        <v>305</v>
      </c>
      <c r="D67" s="3" t="s">
        <v>32</v>
      </c>
      <c r="E67" s="3">
        <v>1.2999999999999999E-2</v>
      </c>
      <c r="F67" s="3">
        <v>1</v>
      </c>
      <c r="H67" s="5" t="s">
        <v>306</v>
      </c>
      <c r="I67" s="3" t="s">
        <v>178</v>
      </c>
      <c r="J67" s="3" t="s">
        <v>179</v>
      </c>
      <c r="M67" s="6"/>
      <c r="N67" s="6"/>
    </row>
    <row r="68" spans="1:17">
      <c r="A68" s="3">
        <v>67</v>
      </c>
      <c r="B68" s="4" t="s">
        <v>307</v>
      </c>
      <c r="C68" s="3" t="s">
        <v>308</v>
      </c>
      <c r="D68" s="3" t="s">
        <v>32</v>
      </c>
      <c r="E68" s="3">
        <v>35</v>
      </c>
      <c r="F68" s="3">
        <v>3.2</v>
      </c>
      <c r="H68" s="5" t="s">
        <v>167</v>
      </c>
      <c r="I68" s="3" t="s">
        <v>178</v>
      </c>
      <c r="J68" s="3" t="s">
        <v>179</v>
      </c>
      <c r="M68" s="6"/>
      <c r="N68" s="6"/>
    </row>
    <row r="69" spans="1:17">
      <c r="A69" s="3">
        <v>68</v>
      </c>
      <c r="B69" s="4" t="s">
        <v>309</v>
      </c>
      <c r="C69" s="3" t="s">
        <v>310</v>
      </c>
      <c r="D69" s="3" t="s">
        <v>32</v>
      </c>
      <c r="E69" s="3">
        <v>22.5</v>
      </c>
      <c r="F69" s="3">
        <v>3</v>
      </c>
      <c r="H69" s="5" t="s">
        <v>311</v>
      </c>
      <c r="I69" s="3" t="s">
        <v>312</v>
      </c>
      <c r="J69" s="3" t="s">
        <v>313</v>
      </c>
      <c r="M69" s="6"/>
      <c r="N69" s="6"/>
    </row>
    <row r="70" spans="1:17">
      <c r="A70" s="3">
        <v>69</v>
      </c>
      <c r="B70" s="4" t="s">
        <v>314</v>
      </c>
      <c r="C70" s="3" t="s">
        <v>315</v>
      </c>
      <c r="D70" s="3" t="s">
        <v>21</v>
      </c>
      <c r="E70" s="3">
        <v>1.4999999999999999E-2</v>
      </c>
      <c r="F70" s="3">
        <v>2</v>
      </c>
      <c r="H70" s="5" t="s">
        <v>162</v>
      </c>
      <c r="I70" s="3" t="s">
        <v>163</v>
      </c>
      <c r="J70" s="3" t="s">
        <v>164</v>
      </c>
      <c r="M70" s="6"/>
      <c r="N70" s="6"/>
    </row>
    <row r="71" spans="1:17">
      <c r="A71" s="3">
        <v>70</v>
      </c>
      <c r="B71" s="4" t="s">
        <v>316</v>
      </c>
      <c r="C71" s="3" t="s">
        <v>317</v>
      </c>
      <c r="D71" s="3" t="s">
        <v>21</v>
      </c>
      <c r="E71" s="3">
        <v>1.2999999999999999E-2</v>
      </c>
      <c r="F71" s="3">
        <v>1</v>
      </c>
      <c r="H71" s="5" t="s">
        <v>318</v>
      </c>
      <c r="I71" s="3" t="s">
        <v>168</v>
      </c>
      <c r="J71" s="3" t="s">
        <v>169</v>
      </c>
    </row>
    <row r="72" spans="1:17">
      <c r="A72" s="3">
        <v>71</v>
      </c>
      <c r="B72" s="4" t="s">
        <v>319</v>
      </c>
      <c r="C72" s="3" t="s">
        <v>320</v>
      </c>
      <c r="D72" s="3" t="s">
        <v>21</v>
      </c>
      <c r="E72" s="3">
        <v>1.4999999999999999E-2</v>
      </c>
      <c r="F72" s="3">
        <v>2.5</v>
      </c>
      <c r="H72" s="5" t="s">
        <v>321</v>
      </c>
      <c r="I72" s="3" t="s">
        <v>322</v>
      </c>
      <c r="J72" s="3" t="s">
        <v>323</v>
      </c>
      <c r="M72" s="6"/>
      <c r="N72" s="6"/>
    </row>
    <row r="73" spans="1:17">
      <c r="A73" s="3">
        <v>72</v>
      </c>
      <c r="B73" s="4" t="s">
        <v>324</v>
      </c>
      <c r="C73" s="3" t="s">
        <v>325</v>
      </c>
      <c r="D73" s="3" t="s">
        <v>21</v>
      </c>
      <c r="E73" s="3">
        <v>44</v>
      </c>
      <c r="F73" s="3">
        <v>33</v>
      </c>
      <c r="H73" s="5" t="s">
        <v>326</v>
      </c>
      <c r="I73" s="3" t="s">
        <v>327</v>
      </c>
      <c r="J73" s="3" t="s">
        <v>328</v>
      </c>
      <c r="L73" s="3">
        <v>1000</v>
      </c>
      <c r="M73" s="6">
        <v>337</v>
      </c>
      <c r="N73" s="6">
        <f>309/60</f>
        <v>5.15</v>
      </c>
    </row>
    <row r="74" spans="1:17">
      <c r="A74" s="3">
        <v>73</v>
      </c>
      <c r="B74" s="4" t="s">
        <v>329</v>
      </c>
      <c r="C74" s="3" t="s">
        <v>330</v>
      </c>
      <c r="D74" s="3" t="s">
        <v>43</v>
      </c>
      <c r="E74" s="3">
        <v>2.5999999999999999E-2</v>
      </c>
      <c r="F74" s="3">
        <v>2.8</v>
      </c>
      <c r="H74" s="5" t="s">
        <v>331</v>
      </c>
      <c r="I74" s="3" t="s">
        <v>332</v>
      </c>
      <c r="J74" s="3" t="s">
        <v>333</v>
      </c>
      <c r="M74" s="6"/>
      <c r="N74" s="6"/>
    </row>
    <row r="75" spans="1:17">
      <c r="A75" s="3">
        <v>74</v>
      </c>
      <c r="B75" s="4" t="s">
        <v>334</v>
      </c>
      <c r="C75" s="3" t="s">
        <v>335</v>
      </c>
      <c r="D75" s="3" t="s">
        <v>43</v>
      </c>
      <c r="E75" s="3">
        <f>5.5/2</f>
        <v>2.75</v>
      </c>
      <c r="F75" s="3">
        <v>13</v>
      </c>
      <c r="H75" s="5" t="s">
        <v>336</v>
      </c>
      <c r="I75" s="3" t="s">
        <v>70</v>
      </c>
      <c r="J75" s="3" t="s">
        <v>71</v>
      </c>
      <c r="K75" s="3" t="s">
        <v>185</v>
      </c>
      <c r="L75" s="3">
        <v>844</v>
      </c>
      <c r="M75" s="6">
        <v>216</v>
      </c>
      <c r="N75" s="6">
        <f>150/60</f>
        <v>2.5</v>
      </c>
      <c r="P75" s="3">
        <v>150</v>
      </c>
      <c r="Q75" s="3">
        <v>1500</v>
      </c>
    </row>
    <row r="76" spans="1:17">
      <c r="A76" s="3">
        <v>75</v>
      </c>
      <c r="B76" s="4" t="s">
        <v>337</v>
      </c>
      <c r="C76" s="3" t="s">
        <v>338</v>
      </c>
      <c r="D76" s="3" t="s">
        <v>43</v>
      </c>
      <c r="E76" s="3">
        <v>16</v>
      </c>
      <c r="F76" s="3">
        <v>23</v>
      </c>
      <c r="H76" s="5" t="s">
        <v>339</v>
      </c>
      <c r="I76" s="3" t="s">
        <v>340</v>
      </c>
      <c r="J76" s="3" t="s">
        <v>341</v>
      </c>
      <c r="M76" s="6"/>
      <c r="N76" s="6"/>
    </row>
    <row r="77" spans="1:17">
      <c r="A77" s="3">
        <v>76</v>
      </c>
      <c r="B77" s="4" t="s">
        <v>342</v>
      </c>
      <c r="C77" s="3" t="s">
        <v>343</v>
      </c>
      <c r="D77" s="3" t="s">
        <v>43</v>
      </c>
      <c r="E77" s="3">
        <f>(15+24)/2</f>
        <v>19.5</v>
      </c>
      <c r="F77" s="3">
        <v>20</v>
      </c>
      <c r="H77" s="5" t="s">
        <v>344</v>
      </c>
      <c r="I77" s="3" t="s">
        <v>340</v>
      </c>
      <c r="J77" s="3" t="s">
        <v>341</v>
      </c>
      <c r="M77" s="6"/>
      <c r="N77" s="6"/>
    </row>
    <row r="78" spans="1:17">
      <c r="A78" s="3">
        <v>77</v>
      </c>
      <c r="B78" s="4" t="s">
        <v>345</v>
      </c>
      <c r="C78" s="3" t="s">
        <v>346</v>
      </c>
      <c r="D78" s="3" t="s">
        <v>43</v>
      </c>
      <c r="E78" s="3">
        <f>(45+80)/2</f>
        <v>62.5</v>
      </c>
      <c r="F78" s="3">
        <v>32</v>
      </c>
      <c r="H78" s="5" t="s">
        <v>347</v>
      </c>
      <c r="I78" s="3" t="s">
        <v>340</v>
      </c>
      <c r="J78" s="3" t="s">
        <v>341</v>
      </c>
      <c r="M78" s="6"/>
      <c r="N78" s="6"/>
    </row>
    <row r="79" spans="1:17">
      <c r="A79" s="3">
        <v>78</v>
      </c>
      <c r="B79" s="4" t="s">
        <v>348</v>
      </c>
      <c r="C79" s="3" t="s">
        <v>349</v>
      </c>
      <c r="D79" s="3" t="s">
        <v>21</v>
      </c>
      <c r="E79" s="3">
        <f>(0.32+0.57)/2</f>
        <v>0.44499999999999995</v>
      </c>
      <c r="F79" s="3">
        <v>32</v>
      </c>
      <c r="H79" s="5" t="s">
        <v>350</v>
      </c>
      <c r="I79" s="3" t="s">
        <v>351</v>
      </c>
      <c r="J79" s="3" t="s">
        <v>352</v>
      </c>
      <c r="K79" s="3" t="s">
        <v>353</v>
      </c>
      <c r="L79" s="3">
        <v>2008</v>
      </c>
      <c r="M79" s="6">
        <v>444</v>
      </c>
      <c r="N79" s="6">
        <f>98/60</f>
        <v>1.6333333333333333</v>
      </c>
      <c r="O79" s="3" t="s">
        <v>354</v>
      </c>
    </row>
    <row r="80" spans="1:17">
      <c r="A80" s="3">
        <v>79</v>
      </c>
      <c r="B80" s="4" t="s">
        <v>355</v>
      </c>
      <c r="C80" s="3" t="s">
        <v>356</v>
      </c>
      <c r="D80" s="3" t="s">
        <v>21</v>
      </c>
      <c r="E80" s="3">
        <v>1.2</v>
      </c>
      <c r="F80" s="3">
        <v>24</v>
      </c>
      <c r="H80" s="5" t="s">
        <v>357</v>
      </c>
      <c r="I80" s="3" t="s">
        <v>358</v>
      </c>
      <c r="J80" s="3" t="s">
        <v>359</v>
      </c>
      <c r="K80" s="3" t="s">
        <v>101</v>
      </c>
      <c r="L80" s="3">
        <v>6919</v>
      </c>
      <c r="M80" s="6">
        <f>(1422+1947)/2</f>
        <v>1684.5</v>
      </c>
      <c r="N80" s="6"/>
    </row>
    <row r="81" spans="1:14">
      <c r="A81" s="3">
        <v>80</v>
      </c>
      <c r="B81" s="4" t="s">
        <v>360</v>
      </c>
      <c r="C81" s="3" t="s">
        <v>361</v>
      </c>
      <c r="D81" s="3" t="s">
        <v>21</v>
      </c>
      <c r="E81" s="3">
        <v>1.2</v>
      </c>
      <c r="F81" s="3">
        <v>24</v>
      </c>
      <c r="H81" s="5" t="s">
        <v>357</v>
      </c>
      <c r="I81" s="3" t="s">
        <v>358</v>
      </c>
      <c r="J81" s="3" t="s">
        <v>359</v>
      </c>
      <c r="K81" s="3" t="s">
        <v>101</v>
      </c>
      <c r="L81" s="3">
        <v>5698</v>
      </c>
      <c r="M81" s="6">
        <f>(1127+1620)/2</f>
        <v>1373.5</v>
      </c>
      <c r="N81" s="6"/>
    </row>
    <row r="82" spans="1:14">
      <c r="A82" s="3">
        <v>81</v>
      </c>
      <c r="B82" s="4" t="s">
        <v>362</v>
      </c>
      <c r="C82" s="3" t="s">
        <v>363</v>
      </c>
      <c r="D82" s="3" t="s">
        <v>21</v>
      </c>
      <c r="E82" s="3">
        <f>(0.463+0.71)/2</f>
        <v>0.58650000000000002</v>
      </c>
      <c r="F82" s="3">
        <v>18</v>
      </c>
      <c r="H82" s="5" t="s">
        <v>364</v>
      </c>
      <c r="I82" s="3" t="s">
        <v>365</v>
      </c>
      <c r="J82" s="3" t="s">
        <v>359</v>
      </c>
      <c r="M82" s="6"/>
      <c r="N82" s="6"/>
    </row>
    <row r="83" spans="1:14">
      <c r="A83" s="3">
        <v>82</v>
      </c>
      <c r="B83" s="4" t="s">
        <v>366</v>
      </c>
      <c r="C83" s="3" t="s">
        <v>367</v>
      </c>
      <c r="D83" s="3" t="s">
        <v>43</v>
      </c>
      <c r="E83" s="3">
        <v>3.9</v>
      </c>
      <c r="F83" s="3">
        <v>6.1</v>
      </c>
      <c r="H83" s="5" t="s">
        <v>368</v>
      </c>
      <c r="I83" s="3" t="s">
        <v>369</v>
      </c>
      <c r="J83" s="3" t="s">
        <v>370</v>
      </c>
      <c r="M83" s="6"/>
      <c r="N83" s="6">
        <v>27</v>
      </c>
    </row>
    <row r="84" spans="1:14" ht="17">
      <c r="A84" s="3">
        <v>83</v>
      </c>
      <c r="B84" s="4" t="s">
        <v>371</v>
      </c>
      <c r="C84" s="3" t="s">
        <v>372</v>
      </c>
      <c r="D84" s="3" t="s">
        <v>21</v>
      </c>
      <c r="E84" s="3">
        <f>+(3+4.4)/2</f>
        <v>3.7</v>
      </c>
      <c r="F84" s="3">
        <v>18</v>
      </c>
      <c r="H84" s="5" t="s">
        <v>373</v>
      </c>
      <c r="I84" s="3" t="s">
        <v>374</v>
      </c>
      <c r="J84" s="3" t="s">
        <v>359</v>
      </c>
      <c r="M84" s="6"/>
      <c r="N84" s="6"/>
    </row>
    <row r="85" spans="1:14">
      <c r="A85" s="3">
        <v>84</v>
      </c>
      <c r="B85" s="4" t="s">
        <v>375</v>
      </c>
      <c r="C85" s="3" t="s">
        <v>376</v>
      </c>
      <c r="D85" s="3" t="s">
        <v>43</v>
      </c>
      <c r="E85" s="3">
        <v>4.8</v>
      </c>
      <c r="F85" s="3">
        <v>6</v>
      </c>
      <c r="H85" s="5" t="s">
        <v>377</v>
      </c>
      <c r="I85" s="3" t="s">
        <v>378</v>
      </c>
      <c r="J85" s="3" t="s">
        <v>379</v>
      </c>
      <c r="M85" s="6"/>
      <c r="N85" s="6"/>
    </row>
    <row r="86" spans="1:14">
      <c r="A86" s="3">
        <v>85</v>
      </c>
      <c r="B86" s="4" t="s">
        <v>380</v>
      </c>
      <c r="C86" s="3" t="s">
        <v>381</v>
      </c>
      <c r="D86" s="3" t="s">
        <v>43</v>
      </c>
      <c r="E86" s="3">
        <v>4.8</v>
      </c>
      <c r="F86" s="3">
        <v>6</v>
      </c>
      <c r="H86" s="5" t="s">
        <v>382</v>
      </c>
      <c r="I86" s="3" t="s">
        <v>378</v>
      </c>
      <c r="J86" s="3" t="s">
        <v>383</v>
      </c>
      <c r="N86" s="3">
        <v>28</v>
      </c>
    </row>
    <row r="87" spans="1:14">
      <c r="A87" s="3">
        <v>86</v>
      </c>
      <c r="B87" s="4" t="s">
        <v>384</v>
      </c>
      <c r="C87" s="3" t="s">
        <v>385</v>
      </c>
      <c r="D87" s="3" t="s">
        <v>43</v>
      </c>
      <c r="E87" s="3">
        <v>8.6</v>
      </c>
      <c r="F87" s="3">
        <v>6</v>
      </c>
      <c r="H87" s="5" t="s">
        <v>377</v>
      </c>
      <c r="I87" s="3" t="s">
        <v>378</v>
      </c>
      <c r="J87" s="3" t="s">
        <v>379</v>
      </c>
      <c r="M87" s="6"/>
      <c r="N87" s="6">
        <f>(21+43)/2</f>
        <v>32</v>
      </c>
    </row>
    <row r="88" spans="1:14">
      <c r="A88" s="3">
        <v>87</v>
      </c>
      <c r="B88" s="4" t="s">
        <v>386</v>
      </c>
      <c r="C88" s="3" t="s">
        <v>387</v>
      </c>
      <c r="D88" s="3" t="s">
        <v>43</v>
      </c>
      <c r="E88" s="3">
        <v>5.3</v>
      </c>
      <c r="F88" s="3">
        <v>16.899999999999999</v>
      </c>
      <c r="H88" s="5" t="s">
        <v>388</v>
      </c>
      <c r="I88" s="3" t="s">
        <v>389</v>
      </c>
      <c r="J88" s="3" t="s">
        <v>390</v>
      </c>
      <c r="N88" s="3">
        <v>23.5</v>
      </c>
    </row>
    <row r="89" spans="1:14">
      <c r="A89" s="3">
        <v>88</v>
      </c>
      <c r="B89" s="4" t="s">
        <v>391</v>
      </c>
      <c r="C89" s="3" t="s">
        <v>392</v>
      </c>
      <c r="D89" s="3" t="s">
        <v>43</v>
      </c>
      <c r="E89" s="3">
        <v>3.3</v>
      </c>
      <c r="F89" s="3">
        <v>17</v>
      </c>
      <c r="H89" s="5" t="s">
        <v>364</v>
      </c>
      <c r="I89" s="3" t="s">
        <v>374</v>
      </c>
      <c r="J89" s="3" t="s">
        <v>359</v>
      </c>
      <c r="M89" s="6"/>
      <c r="N89" s="6"/>
    </row>
    <row r="90" spans="1:14">
      <c r="A90" s="3">
        <v>89</v>
      </c>
      <c r="B90" s="4" t="s">
        <v>393</v>
      </c>
      <c r="C90" s="3" t="s">
        <v>394</v>
      </c>
      <c r="D90" s="3" t="s">
        <v>43</v>
      </c>
      <c r="E90" s="3">
        <v>3.6</v>
      </c>
      <c r="F90" s="3">
        <v>18</v>
      </c>
      <c r="H90" s="5" t="s">
        <v>373</v>
      </c>
      <c r="I90" s="3" t="s">
        <v>374</v>
      </c>
      <c r="J90" s="3" t="s">
        <v>359</v>
      </c>
      <c r="M90" s="6"/>
      <c r="N90" s="6"/>
    </row>
    <row r="91" spans="1:14">
      <c r="A91" s="3">
        <v>90</v>
      </c>
      <c r="B91" s="4" t="s">
        <v>395</v>
      </c>
      <c r="C91" s="3" t="s">
        <v>396</v>
      </c>
      <c r="D91" s="3" t="s">
        <v>43</v>
      </c>
      <c r="E91" s="3">
        <f>(4.5+7.7)/2</f>
        <v>6.1</v>
      </c>
      <c r="F91" s="3">
        <v>10</v>
      </c>
      <c r="H91" s="5" t="s">
        <v>397</v>
      </c>
      <c r="I91" s="3" t="s">
        <v>398</v>
      </c>
      <c r="J91" s="3" t="s">
        <v>399</v>
      </c>
      <c r="M91" s="6"/>
      <c r="N91" s="6"/>
    </row>
    <row r="92" spans="1:14">
      <c r="A92" s="3">
        <v>91</v>
      </c>
      <c r="B92" s="4" t="s">
        <v>400</v>
      </c>
      <c r="C92" s="3" t="s">
        <v>401</v>
      </c>
      <c r="D92" s="3" t="s">
        <v>32</v>
      </c>
      <c r="E92" s="3">
        <f>(56+85)/2</f>
        <v>70.5</v>
      </c>
      <c r="F92" s="3">
        <v>5</v>
      </c>
      <c r="H92" s="5" t="s">
        <v>402</v>
      </c>
      <c r="I92" s="3" t="s">
        <v>403</v>
      </c>
      <c r="J92" s="3" t="s">
        <v>237</v>
      </c>
      <c r="M92" s="6"/>
      <c r="N92" s="6"/>
    </row>
    <row r="93" spans="1:14">
      <c r="A93" s="3">
        <v>92</v>
      </c>
      <c r="B93" s="4" t="s">
        <v>404</v>
      </c>
      <c r="C93" s="3" t="s">
        <v>405</v>
      </c>
      <c r="D93" s="3" t="s">
        <v>32</v>
      </c>
      <c r="E93" s="3">
        <v>42</v>
      </c>
      <c r="F93" s="3">
        <v>7</v>
      </c>
      <c r="H93" s="5" t="s">
        <v>406</v>
      </c>
      <c r="I93" s="3" t="s">
        <v>407</v>
      </c>
      <c r="J93" s="3" t="s">
        <v>408</v>
      </c>
      <c r="M93" s="6"/>
      <c r="N93" s="6"/>
    </row>
    <row r="94" spans="1:14" ht="17" customHeight="1">
      <c r="A94" s="3">
        <v>93</v>
      </c>
      <c r="B94" s="4" t="s">
        <v>409</v>
      </c>
      <c r="C94" s="3" t="s">
        <v>410</v>
      </c>
      <c r="D94" s="3" t="s">
        <v>32</v>
      </c>
      <c r="E94" s="3">
        <v>180</v>
      </c>
      <c r="F94" s="3">
        <v>23.8</v>
      </c>
      <c r="H94" s="5" t="s">
        <v>411</v>
      </c>
      <c r="I94" s="3" t="s">
        <v>149</v>
      </c>
      <c r="J94" s="3" t="s">
        <v>56</v>
      </c>
    </row>
    <row r="95" spans="1:14" ht="17" customHeight="1">
      <c r="A95" s="3">
        <v>94</v>
      </c>
      <c r="B95" s="4" t="s">
        <v>412</v>
      </c>
      <c r="C95" s="3" t="s">
        <v>413</v>
      </c>
      <c r="D95" s="3" t="s">
        <v>21</v>
      </c>
      <c r="E95" s="3">
        <v>0.95</v>
      </c>
      <c r="F95" s="3">
        <v>20</v>
      </c>
      <c r="H95" s="5" t="s">
        <v>414</v>
      </c>
      <c r="I95" s="3" t="s">
        <v>415</v>
      </c>
      <c r="J95" s="3" t="s">
        <v>416</v>
      </c>
    </row>
    <row r="96" spans="1:14">
      <c r="A96" s="3">
        <v>95</v>
      </c>
      <c r="B96" s="4" t="s">
        <v>417</v>
      </c>
      <c r="C96" s="3" t="s">
        <v>418</v>
      </c>
      <c r="D96" s="3" t="s">
        <v>43</v>
      </c>
      <c r="E96" s="3">
        <v>0.43</v>
      </c>
      <c r="F96" s="3">
        <v>12.5</v>
      </c>
      <c r="H96" s="5" t="s">
        <v>419</v>
      </c>
      <c r="I96" s="3" t="s">
        <v>420</v>
      </c>
      <c r="J96" s="3" t="s">
        <v>421</v>
      </c>
      <c r="M96" s="6"/>
      <c r="N96" s="6"/>
    </row>
    <row r="97" spans="1:17">
      <c r="A97" s="3">
        <v>96</v>
      </c>
      <c r="B97" s="4" t="s">
        <v>422</v>
      </c>
      <c r="C97" s="3" t="s">
        <v>423</v>
      </c>
      <c r="D97" s="3" t="s">
        <v>43</v>
      </c>
      <c r="E97" s="3">
        <v>0.19500000000000001</v>
      </c>
      <c r="F97" s="3">
        <v>8.1999999999999993</v>
      </c>
      <c r="H97" s="5" t="s">
        <v>424</v>
      </c>
      <c r="I97" s="3" t="s">
        <v>420</v>
      </c>
      <c r="J97" s="3" t="s">
        <v>421</v>
      </c>
      <c r="M97" s="6"/>
      <c r="N97" s="6"/>
    </row>
    <row r="98" spans="1:17">
      <c r="A98" s="3">
        <v>97</v>
      </c>
      <c r="B98" s="4" t="s">
        <v>425</v>
      </c>
      <c r="C98" s="3" t="s">
        <v>426</v>
      </c>
      <c r="D98" s="3" t="s">
        <v>43</v>
      </c>
      <c r="E98" s="3">
        <v>15</v>
      </c>
      <c r="F98" s="3">
        <v>30</v>
      </c>
      <c r="H98" s="5" t="s">
        <v>427</v>
      </c>
      <c r="I98" s="3" t="s">
        <v>428</v>
      </c>
      <c r="J98" s="3" t="s">
        <v>429</v>
      </c>
      <c r="K98" s="3" t="s">
        <v>430</v>
      </c>
      <c r="L98" s="3">
        <v>1100</v>
      </c>
      <c r="M98" s="6">
        <f>+(174+277)/2</f>
        <v>225.5</v>
      </c>
      <c r="N98" s="6">
        <f>8.3*24</f>
        <v>199.20000000000002</v>
      </c>
      <c r="P98" s="3">
        <v>56</v>
      </c>
      <c r="Q98" s="3">
        <v>59.5</v>
      </c>
    </row>
    <row r="99" spans="1:17">
      <c r="A99" s="3">
        <v>98</v>
      </c>
      <c r="B99" s="4" t="s">
        <v>431</v>
      </c>
      <c r="C99" s="3" t="s">
        <v>432</v>
      </c>
      <c r="D99" s="3" t="s">
        <v>43</v>
      </c>
      <c r="E99" s="3">
        <f>(1.4+1.7)/2</f>
        <v>1.5499999999999998</v>
      </c>
      <c r="F99" s="3">
        <v>8</v>
      </c>
      <c r="H99" s="5" t="s">
        <v>433</v>
      </c>
      <c r="I99" s="3" t="s">
        <v>434</v>
      </c>
      <c r="J99" s="3" t="s">
        <v>435</v>
      </c>
      <c r="M99" s="6"/>
      <c r="N99" s="6"/>
    </row>
    <row r="100" spans="1:17">
      <c r="A100" s="3">
        <v>99</v>
      </c>
      <c r="B100" s="4" t="s">
        <v>436</v>
      </c>
      <c r="C100" s="3" t="s">
        <v>437</v>
      </c>
      <c r="D100" s="3" t="s">
        <v>32</v>
      </c>
      <c r="E100" s="3">
        <v>80</v>
      </c>
      <c r="F100" s="3">
        <v>10</v>
      </c>
      <c r="H100" s="5" t="s">
        <v>438</v>
      </c>
      <c r="I100" s="3" t="s">
        <v>439</v>
      </c>
      <c r="J100" s="3" t="s">
        <v>179</v>
      </c>
      <c r="K100" s="3" t="s">
        <v>353</v>
      </c>
      <c r="L100" s="3">
        <v>4355</v>
      </c>
      <c r="M100" s="6">
        <v>394</v>
      </c>
      <c r="N100" s="6">
        <f>12*24</f>
        <v>288</v>
      </c>
    </row>
    <row r="101" spans="1:17">
      <c r="A101" s="3">
        <v>100</v>
      </c>
      <c r="B101" s="4" t="s">
        <v>440</v>
      </c>
      <c r="C101" s="3" t="s">
        <v>441</v>
      </c>
      <c r="D101" s="3" t="s">
        <v>43</v>
      </c>
      <c r="E101" s="3">
        <v>1.9E-2</v>
      </c>
      <c r="F101" s="3">
        <v>6</v>
      </c>
      <c r="H101" s="5" t="s">
        <v>442</v>
      </c>
      <c r="I101" s="3" t="s">
        <v>443</v>
      </c>
      <c r="J101" s="3" t="s">
        <v>444</v>
      </c>
    </row>
    <row r="102" spans="1:17">
      <c r="A102" s="3">
        <v>101</v>
      </c>
      <c r="B102" s="4" t="s">
        <v>445</v>
      </c>
      <c r="C102" s="3" t="s">
        <v>446</v>
      </c>
      <c r="D102" s="3" t="s">
        <v>43</v>
      </c>
      <c r="E102" s="3">
        <v>5.5</v>
      </c>
      <c r="F102" s="3">
        <v>6.8</v>
      </c>
      <c r="H102" s="5" t="s">
        <v>447</v>
      </c>
      <c r="I102" s="3" t="s">
        <v>448</v>
      </c>
      <c r="J102" s="3" t="s">
        <v>449</v>
      </c>
      <c r="M102" s="6"/>
      <c r="N102" s="6">
        <v>30</v>
      </c>
    </row>
    <row r="103" spans="1:17">
      <c r="A103" s="3">
        <v>102</v>
      </c>
      <c r="B103" s="4" t="s">
        <v>450</v>
      </c>
      <c r="C103" s="3" t="s">
        <v>451</v>
      </c>
      <c r="D103" s="3" t="s">
        <v>43</v>
      </c>
      <c r="E103" s="3">
        <v>1.43E-2</v>
      </c>
      <c r="F103" s="3">
        <v>4</v>
      </c>
      <c r="H103" s="5" t="s">
        <v>452</v>
      </c>
      <c r="I103" s="3" t="s">
        <v>453</v>
      </c>
      <c r="J103" s="3" t="s">
        <v>454</v>
      </c>
      <c r="M103" s="6"/>
      <c r="N103" s="6"/>
    </row>
    <row r="104" spans="1:17">
      <c r="A104" s="3">
        <v>103</v>
      </c>
      <c r="B104" s="4" t="s">
        <v>455</v>
      </c>
      <c r="C104" s="3" t="s">
        <v>456</v>
      </c>
      <c r="D104" s="3" t="s">
        <v>43</v>
      </c>
      <c r="E104" s="3">
        <v>0.4</v>
      </c>
      <c r="F104" s="3">
        <v>2.5</v>
      </c>
      <c r="H104" s="5" t="s">
        <v>457</v>
      </c>
      <c r="I104" s="3" t="s">
        <v>458</v>
      </c>
      <c r="J104" s="3" t="s">
        <v>459</v>
      </c>
      <c r="M104" s="6"/>
      <c r="N104" s="6"/>
    </row>
    <row r="105" spans="1:17">
      <c r="A105" s="3">
        <v>104</v>
      </c>
      <c r="B105" s="4" t="s">
        <v>460</v>
      </c>
      <c r="C105" s="3" t="s">
        <v>461</v>
      </c>
      <c r="D105" s="3" t="s">
        <v>43</v>
      </c>
      <c r="E105" s="3">
        <v>23</v>
      </c>
      <c r="F105" s="3">
        <v>20</v>
      </c>
      <c r="H105" s="5" t="s">
        <v>462</v>
      </c>
      <c r="I105" s="3" t="s">
        <v>463</v>
      </c>
      <c r="J105" s="3" t="s">
        <v>464</v>
      </c>
      <c r="M105" s="6"/>
      <c r="N105" s="6"/>
    </row>
    <row r="106" spans="1:17">
      <c r="A106" s="3">
        <v>105</v>
      </c>
      <c r="B106" s="4" t="s">
        <v>465</v>
      </c>
      <c r="C106" s="3" t="s">
        <v>466</v>
      </c>
      <c r="D106" s="3" t="s">
        <v>21</v>
      </c>
      <c r="E106" s="3">
        <f>+(0.039+0.056)/2</f>
        <v>4.7500000000000001E-2</v>
      </c>
      <c r="F106" s="3">
        <v>6</v>
      </c>
      <c r="H106" s="5" t="s">
        <v>368</v>
      </c>
      <c r="I106" s="3" t="s">
        <v>369</v>
      </c>
      <c r="J106" s="3" t="s">
        <v>370</v>
      </c>
    </row>
    <row r="107" spans="1:17">
      <c r="A107" s="3">
        <v>106</v>
      </c>
      <c r="B107" s="4" t="s">
        <v>467</v>
      </c>
      <c r="C107" s="3" t="s">
        <v>468</v>
      </c>
      <c r="D107" s="3" t="s">
        <v>43</v>
      </c>
      <c r="E107" s="3">
        <v>13</v>
      </c>
      <c r="F107" s="3">
        <v>9.9</v>
      </c>
      <c r="H107" s="5"/>
      <c r="I107" s="3" t="s">
        <v>469</v>
      </c>
      <c r="J107" s="3" t="s">
        <v>470</v>
      </c>
      <c r="M107" s="6"/>
      <c r="N107" s="6"/>
    </row>
    <row r="108" spans="1:17">
      <c r="A108" s="3">
        <v>107</v>
      </c>
      <c r="B108" s="4" t="s">
        <v>471</v>
      </c>
      <c r="C108" s="3" t="s">
        <v>472</v>
      </c>
      <c r="D108" s="3" t="s">
        <v>43</v>
      </c>
      <c r="E108" s="3">
        <v>0.02</v>
      </c>
      <c r="F108" s="3">
        <v>6</v>
      </c>
      <c r="H108" s="5" t="s">
        <v>473</v>
      </c>
      <c r="I108" s="3" t="s">
        <v>50</v>
      </c>
      <c r="J108" s="3" t="s">
        <v>51</v>
      </c>
      <c r="M108" s="6"/>
      <c r="N108" s="6"/>
    </row>
    <row r="109" spans="1:17">
      <c r="A109" s="3">
        <v>108</v>
      </c>
      <c r="B109" s="4" t="s">
        <v>474</v>
      </c>
      <c r="C109" s="3" t="s">
        <v>475</v>
      </c>
      <c r="D109" s="3" t="s">
        <v>43</v>
      </c>
      <c r="E109" s="3">
        <v>0.152</v>
      </c>
      <c r="F109" s="3">
        <v>6</v>
      </c>
      <c r="H109" s="5" t="s">
        <v>476</v>
      </c>
      <c r="I109" s="3" t="s">
        <v>477</v>
      </c>
      <c r="J109" s="3" t="s">
        <v>478</v>
      </c>
      <c r="M109" s="6"/>
      <c r="N109" s="6"/>
    </row>
    <row r="110" spans="1:17">
      <c r="A110" s="3">
        <v>109</v>
      </c>
      <c r="B110" s="4" t="s">
        <v>479</v>
      </c>
      <c r="C110" s="3" t="s">
        <v>480</v>
      </c>
      <c r="D110" s="3" t="s">
        <v>32</v>
      </c>
      <c r="E110" s="3">
        <v>14</v>
      </c>
      <c r="F110" s="3">
        <v>6</v>
      </c>
      <c r="H110" s="5" t="s">
        <v>368</v>
      </c>
      <c r="I110" s="3" t="s">
        <v>369</v>
      </c>
      <c r="J110" s="3" t="s">
        <v>370</v>
      </c>
    </row>
    <row r="111" spans="1:17">
      <c r="A111" s="3">
        <v>110</v>
      </c>
      <c r="B111" s="4" t="s">
        <v>481</v>
      </c>
      <c r="C111" s="3" t="s">
        <v>482</v>
      </c>
      <c r="D111" s="3" t="s">
        <v>43</v>
      </c>
      <c r="E111" s="3">
        <v>0.01</v>
      </c>
      <c r="F111" s="3">
        <v>6</v>
      </c>
      <c r="H111" s="5" t="s">
        <v>483</v>
      </c>
      <c r="I111" s="3" t="s">
        <v>477</v>
      </c>
      <c r="J111" s="3" t="s">
        <v>478</v>
      </c>
      <c r="M111" s="6"/>
      <c r="N111" s="6"/>
    </row>
    <row r="112" spans="1:17">
      <c r="A112" s="3">
        <v>111</v>
      </c>
      <c r="B112" s="4" t="s">
        <v>484</v>
      </c>
      <c r="C112" s="3" t="s">
        <v>485</v>
      </c>
      <c r="D112" s="3" t="s">
        <v>43</v>
      </c>
      <c r="E112" s="3">
        <v>1.7</v>
      </c>
      <c r="F112" s="3">
        <v>22</v>
      </c>
      <c r="H112" s="5" t="s">
        <v>486</v>
      </c>
      <c r="I112" s="3" t="s">
        <v>487</v>
      </c>
      <c r="J112" s="3" t="s">
        <v>488</v>
      </c>
      <c r="K112" s="3" t="s">
        <v>101</v>
      </c>
      <c r="L112" s="3">
        <v>5495</v>
      </c>
      <c r="M112" s="6">
        <f>(337+552)/2</f>
        <v>444.5</v>
      </c>
      <c r="N112" s="6">
        <v>74</v>
      </c>
    </row>
    <row r="113" spans="1:19">
      <c r="A113" s="3">
        <v>112</v>
      </c>
      <c r="B113" s="4" t="s">
        <v>489</v>
      </c>
      <c r="C113" s="3" t="s">
        <v>490</v>
      </c>
      <c r="D113" s="3" t="s">
        <v>32</v>
      </c>
      <c r="E113" s="3">
        <v>165</v>
      </c>
      <c r="F113" s="3">
        <v>2</v>
      </c>
      <c r="H113" s="5" t="s">
        <v>491</v>
      </c>
      <c r="I113" s="3" t="s">
        <v>492</v>
      </c>
      <c r="J113" s="3" t="s">
        <v>493</v>
      </c>
      <c r="M113" s="6"/>
      <c r="N113" s="6"/>
    </row>
    <row r="114" spans="1:19">
      <c r="A114" s="3">
        <v>113</v>
      </c>
      <c r="B114" s="4" t="s">
        <v>494</v>
      </c>
      <c r="C114" s="3" t="s">
        <v>495</v>
      </c>
      <c r="D114" s="3" t="s">
        <v>43</v>
      </c>
      <c r="E114" s="3">
        <v>6.5</v>
      </c>
      <c r="F114" s="3">
        <v>1.5</v>
      </c>
      <c r="H114" s="5" t="s">
        <v>496</v>
      </c>
      <c r="I114" s="3" t="s">
        <v>178</v>
      </c>
      <c r="J114" s="3" t="s">
        <v>179</v>
      </c>
      <c r="M114" s="6"/>
      <c r="N114" s="6"/>
    </row>
    <row r="115" spans="1:19">
      <c r="A115" s="3">
        <v>114</v>
      </c>
      <c r="B115" s="4" t="s">
        <v>497</v>
      </c>
      <c r="C115" s="3" t="s">
        <v>498</v>
      </c>
      <c r="D115" s="3" t="s">
        <v>32</v>
      </c>
      <c r="E115" s="3">
        <v>0.19</v>
      </c>
      <c r="F115" s="3">
        <v>8</v>
      </c>
      <c r="H115" s="5" t="s">
        <v>499</v>
      </c>
      <c r="I115" s="3" t="s">
        <v>500</v>
      </c>
      <c r="J115" s="3" t="s">
        <v>501</v>
      </c>
      <c r="M115" s="6"/>
      <c r="N115" s="6"/>
    </row>
    <row r="116" spans="1:19">
      <c r="A116" s="3">
        <v>115</v>
      </c>
      <c r="B116" s="4" t="s">
        <v>502</v>
      </c>
      <c r="C116" s="3" t="s">
        <v>503</v>
      </c>
      <c r="D116" s="3" t="s">
        <v>43</v>
      </c>
      <c r="E116" s="3">
        <v>1.35</v>
      </c>
      <c r="F116" s="3">
        <v>10</v>
      </c>
      <c r="H116" s="5" t="s">
        <v>504</v>
      </c>
      <c r="I116" s="3" t="s">
        <v>505</v>
      </c>
      <c r="J116" s="3" t="s">
        <v>506</v>
      </c>
      <c r="M116" s="6"/>
      <c r="N116" s="6"/>
    </row>
    <row r="117" spans="1:19">
      <c r="A117" s="3">
        <v>116</v>
      </c>
      <c r="B117" s="4" t="s">
        <v>507</v>
      </c>
      <c r="C117" s="3" t="s">
        <v>508</v>
      </c>
      <c r="D117" s="3" t="s">
        <v>43</v>
      </c>
      <c r="E117" s="3">
        <f>+(0.337+0.531)/2</f>
        <v>0.43400000000000005</v>
      </c>
      <c r="F117" s="3">
        <v>4.5</v>
      </c>
      <c r="H117" s="5" t="s">
        <v>509</v>
      </c>
      <c r="I117" s="3" t="s">
        <v>510</v>
      </c>
      <c r="J117" s="3" t="s">
        <v>511</v>
      </c>
      <c r="M117" s="6"/>
      <c r="N117" s="6"/>
    </row>
    <row r="118" spans="1:19">
      <c r="A118" s="3">
        <v>117</v>
      </c>
      <c r="B118" s="4" t="s">
        <v>512</v>
      </c>
      <c r="C118" s="3" t="s">
        <v>513</v>
      </c>
      <c r="D118" s="3" t="s">
        <v>43</v>
      </c>
      <c r="E118" s="3">
        <f>(0.57+0.9)/2</f>
        <v>0.73499999999999999</v>
      </c>
      <c r="F118" s="3">
        <v>7</v>
      </c>
      <c r="H118" s="5" t="s">
        <v>514</v>
      </c>
      <c r="I118" s="3" t="s">
        <v>515</v>
      </c>
      <c r="J118" s="3" t="s">
        <v>516</v>
      </c>
      <c r="M118" s="6"/>
      <c r="N118" s="6"/>
    </row>
    <row r="119" spans="1:19">
      <c r="A119" s="3">
        <v>118</v>
      </c>
      <c r="B119" s="4" t="s">
        <v>517</v>
      </c>
      <c r="C119" s="3" t="s">
        <v>518</v>
      </c>
      <c r="D119" s="3" t="s">
        <v>21</v>
      </c>
      <c r="E119" s="3">
        <v>1</v>
      </c>
      <c r="F119" s="3">
        <v>19</v>
      </c>
      <c r="H119" s="5" t="s">
        <v>519</v>
      </c>
      <c r="I119" s="3" t="s">
        <v>520</v>
      </c>
      <c r="J119" s="3" t="s">
        <v>383</v>
      </c>
      <c r="M119" s="6"/>
      <c r="N119" s="6"/>
    </row>
    <row r="120" spans="1:19">
      <c r="A120" s="3">
        <v>119</v>
      </c>
      <c r="B120" s="4" t="s">
        <v>521</v>
      </c>
      <c r="C120" s="3" t="s">
        <v>522</v>
      </c>
      <c r="D120" s="3" t="s">
        <v>32</v>
      </c>
      <c r="E120" s="3">
        <v>0.11</v>
      </c>
      <c r="F120" s="3">
        <v>3.5</v>
      </c>
      <c r="H120" s="5" t="s">
        <v>523</v>
      </c>
      <c r="I120" s="3" t="s">
        <v>178</v>
      </c>
      <c r="J120" s="3" t="s">
        <v>179</v>
      </c>
      <c r="M120" s="6"/>
      <c r="N120" s="6"/>
    </row>
    <row r="121" spans="1:19">
      <c r="A121" s="3">
        <v>120</v>
      </c>
      <c r="B121" s="4" t="s">
        <v>524</v>
      </c>
      <c r="C121" s="3" t="s">
        <v>525</v>
      </c>
      <c r="D121" s="3" t="s">
        <v>32</v>
      </c>
      <c r="E121" s="3">
        <v>3</v>
      </c>
      <c r="F121" s="3">
        <v>9</v>
      </c>
      <c r="H121" s="5" t="s">
        <v>526</v>
      </c>
      <c r="I121" s="3" t="s">
        <v>527</v>
      </c>
      <c r="J121" s="3" t="s">
        <v>528</v>
      </c>
      <c r="M121" s="6"/>
      <c r="N121" s="6"/>
    </row>
    <row r="122" spans="1:19">
      <c r="A122" s="3">
        <v>121</v>
      </c>
      <c r="B122" s="4" t="s">
        <v>529</v>
      </c>
      <c r="C122" s="3" t="s">
        <v>530</v>
      </c>
      <c r="D122" s="3" t="s">
        <v>43</v>
      </c>
      <c r="E122" s="3">
        <v>2</v>
      </c>
      <c r="F122" s="9">
        <v>13</v>
      </c>
      <c r="H122" s="5" t="s">
        <v>531</v>
      </c>
      <c r="I122" s="3" t="s">
        <v>532</v>
      </c>
      <c r="J122" s="3" t="s">
        <v>533</v>
      </c>
      <c r="M122" s="6"/>
      <c r="N122" s="6"/>
      <c r="S122" s="9"/>
    </row>
    <row r="123" spans="1:19">
      <c r="A123" s="3">
        <v>122</v>
      </c>
      <c r="B123" s="4" t="s">
        <v>534</v>
      </c>
      <c r="C123" s="3" t="s">
        <v>535</v>
      </c>
      <c r="D123" s="3" t="s">
        <v>32</v>
      </c>
      <c r="E123" s="3">
        <v>0.01</v>
      </c>
      <c r="F123" s="3">
        <v>1.5</v>
      </c>
      <c r="H123" s="5" t="s">
        <v>536</v>
      </c>
      <c r="I123" s="3" t="s">
        <v>537</v>
      </c>
      <c r="J123" s="3" t="s">
        <v>538</v>
      </c>
      <c r="M123" s="6"/>
      <c r="N123" s="6"/>
    </row>
    <row r="124" spans="1:19">
      <c r="A124" s="3">
        <v>123</v>
      </c>
      <c r="B124" s="4" t="s">
        <v>539</v>
      </c>
      <c r="C124" s="3" t="s">
        <v>540</v>
      </c>
      <c r="D124" s="3" t="s">
        <v>32</v>
      </c>
      <c r="E124" s="3">
        <f>(3.7+8.7)/2</f>
        <v>6.1999999999999993</v>
      </c>
      <c r="F124" s="3">
        <v>2</v>
      </c>
      <c r="H124" s="5" t="s">
        <v>541</v>
      </c>
      <c r="I124" s="3" t="s">
        <v>542</v>
      </c>
      <c r="J124" s="3" t="s">
        <v>100</v>
      </c>
      <c r="M124" s="6"/>
      <c r="N124" s="6"/>
    </row>
    <row r="125" spans="1:19">
      <c r="A125" s="3">
        <v>124</v>
      </c>
      <c r="B125" s="4" t="s">
        <v>543</v>
      </c>
      <c r="C125" s="3" t="s">
        <v>544</v>
      </c>
      <c r="D125" s="3" t="s">
        <v>21</v>
      </c>
      <c r="E125" s="3">
        <f>(0.58+0.67)/2</f>
        <v>0.625</v>
      </c>
      <c r="F125" s="3">
        <v>12</v>
      </c>
      <c r="H125" s="5" t="s">
        <v>545</v>
      </c>
      <c r="I125" s="3" t="s">
        <v>546</v>
      </c>
      <c r="J125" s="3" t="s">
        <v>56</v>
      </c>
    </row>
    <row r="126" spans="1:19">
      <c r="A126" s="3">
        <v>125</v>
      </c>
      <c r="B126" s="4" t="s">
        <v>547</v>
      </c>
      <c r="C126" s="3" t="s">
        <v>548</v>
      </c>
      <c r="D126" s="3" t="s">
        <v>32</v>
      </c>
      <c r="E126" s="3">
        <v>63</v>
      </c>
      <c r="F126" s="3">
        <v>3.5</v>
      </c>
      <c r="H126" s="5" t="s">
        <v>549</v>
      </c>
      <c r="I126" s="3" t="s">
        <v>312</v>
      </c>
      <c r="J126" s="3" t="s">
        <v>313</v>
      </c>
      <c r="M126" s="6"/>
      <c r="N126" s="6"/>
    </row>
    <row r="127" spans="1:19">
      <c r="A127" s="3">
        <v>126</v>
      </c>
      <c r="B127" s="4" t="s">
        <v>550</v>
      </c>
      <c r="C127" s="3" t="s">
        <v>551</v>
      </c>
      <c r="D127" s="3" t="s">
        <v>43</v>
      </c>
      <c r="E127" s="3">
        <v>0.9</v>
      </c>
      <c r="F127" s="3">
        <v>8</v>
      </c>
      <c r="H127" s="5" t="s">
        <v>552</v>
      </c>
      <c r="I127" s="3" t="s">
        <v>553</v>
      </c>
      <c r="J127" s="3" t="s">
        <v>554</v>
      </c>
      <c r="M127" s="6"/>
      <c r="N127" s="6"/>
    </row>
    <row r="128" spans="1:19">
      <c r="A128" s="3">
        <v>127</v>
      </c>
      <c r="B128" s="4" t="s">
        <v>555</v>
      </c>
      <c r="C128" s="3" t="s">
        <v>556</v>
      </c>
      <c r="D128" s="3" t="s">
        <v>32</v>
      </c>
      <c r="E128" s="3">
        <v>0.57999999999999996</v>
      </c>
      <c r="F128" s="3">
        <v>1.5</v>
      </c>
      <c r="H128" s="5" t="s">
        <v>557</v>
      </c>
      <c r="I128" s="3" t="s">
        <v>558</v>
      </c>
      <c r="J128" s="3" t="s">
        <v>559</v>
      </c>
      <c r="M128" s="6"/>
      <c r="N128" s="6"/>
    </row>
    <row r="129" spans="1:17">
      <c r="A129" s="3">
        <v>128</v>
      </c>
      <c r="B129" s="4" t="s">
        <v>560</v>
      </c>
      <c r="C129" s="3" t="s">
        <v>561</v>
      </c>
      <c r="D129" s="3" t="s">
        <v>43</v>
      </c>
      <c r="E129" s="3">
        <v>34.200000000000003</v>
      </c>
      <c r="F129" s="3">
        <v>27</v>
      </c>
      <c r="H129" s="5" t="s">
        <v>562</v>
      </c>
      <c r="I129" s="3" t="s">
        <v>563</v>
      </c>
      <c r="J129" s="3" t="s">
        <v>564</v>
      </c>
      <c r="K129" s="3" t="s">
        <v>353</v>
      </c>
      <c r="L129" s="3">
        <v>2500</v>
      </c>
      <c r="M129" s="6">
        <v>540</v>
      </c>
      <c r="N129" s="6"/>
      <c r="Q129" s="3">
        <v>150</v>
      </c>
    </row>
    <row r="130" spans="1:17">
      <c r="A130" s="3">
        <v>129</v>
      </c>
      <c r="B130" s="4" t="s">
        <v>565</v>
      </c>
      <c r="C130" s="3" t="s">
        <v>566</v>
      </c>
      <c r="D130" s="3" t="s">
        <v>43</v>
      </c>
      <c r="E130" s="3">
        <v>0.03</v>
      </c>
      <c r="F130" s="3">
        <v>6</v>
      </c>
      <c r="H130" s="5" t="s">
        <v>567</v>
      </c>
      <c r="I130" s="3" t="s">
        <v>568</v>
      </c>
      <c r="J130" s="3" t="s">
        <v>569</v>
      </c>
      <c r="M130" s="6"/>
      <c r="N130" s="6">
        <f>35.2/60</f>
        <v>0.58666666666666667</v>
      </c>
    </row>
    <row r="131" spans="1:17">
      <c r="A131" s="3">
        <v>130</v>
      </c>
      <c r="B131" s="4" t="s">
        <v>543</v>
      </c>
      <c r="C131" s="3" t="s">
        <v>544</v>
      </c>
      <c r="D131" s="3" t="s">
        <v>21</v>
      </c>
      <c r="E131" s="3">
        <v>0.55000000000000004</v>
      </c>
      <c r="F131" s="3">
        <v>20</v>
      </c>
      <c r="H131" s="5"/>
      <c r="I131" s="3" t="s">
        <v>149</v>
      </c>
      <c r="J131" s="3" t="s">
        <v>56</v>
      </c>
      <c r="M131" s="6"/>
      <c r="N131" s="6"/>
    </row>
    <row r="132" spans="1:17">
      <c r="A132" s="3">
        <v>131</v>
      </c>
      <c r="B132" s="4" t="s">
        <v>570</v>
      </c>
      <c r="C132" s="3" t="s">
        <v>571</v>
      </c>
      <c r="D132" s="3" t="s">
        <v>21</v>
      </c>
      <c r="E132" s="3">
        <f>(0.37+0.42)/2</f>
        <v>0.39500000000000002</v>
      </c>
      <c r="F132" s="3">
        <v>26</v>
      </c>
      <c r="H132" s="5" t="s">
        <v>572</v>
      </c>
      <c r="I132" s="3" t="s">
        <v>573</v>
      </c>
      <c r="J132" s="3" t="s">
        <v>574</v>
      </c>
      <c r="M132" s="6"/>
      <c r="N132" s="6"/>
    </row>
    <row r="133" spans="1:17">
      <c r="A133" s="3">
        <v>132</v>
      </c>
      <c r="B133" s="4" t="s">
        <v>575</v>
      </c>
      <c r="C133" s="3" t="s">
        <v>576</v>
      </c>
      <c r="D133" s="3" t="s">
        <v>21</v>
      </c>
      <c r="E133" s="3">
        <v>0.5</v>
      </c>
      <c r="F133" s="3">
        <v>29</v>
      </c>
      <c r="H133" s="5" t="s">
        <v>577</v>
      </c>
      <c r="I133" s="3" t="s">
        <v>578</v>
      </c>
      <c r="J133" s="3" t="s">
        <v>579</v>
      </c>
      <c r="M133" s="6"/>
      <c r="N133" s="6">
        <f>94.5/60</f>
        <v>1.575</v>
      </c>
    </row>
    <row r="134" spans="1:17">
      <c r="A134" s="3">
        <v>133</v>
      </c>
      <c r="B134" s="4" t="s">
        <v>580</v>
      </c>
      <c r="C134" s="3" t="s">
        <v>581</v>
      </c>
      <c r="D134" s="3" t="s">
        <v>21</v>
      </c>
      <c r="E134" s="3">
        <v>0.3</v>
      </c>
      <c r="F134" s="3">
        <v>5</v>
      </c>
      <c r="H134" s="5" t="s">
        <v>582</v>
      </c>
      <c r="I134" s="3" t="s">
        <v>583</v>
      </c>
      <c r="J134" s="3" t="s">
        <v>584</v>
      </c>
      <c r="M134" s="6"/>
      <c r="N134" s="6"/>
    </row>
    <row r="135" spans="1:17">
      <c r="A135" s="3">
        <v>134</v>
      </c>
      <c r="B135" s="4" t="s">
        <v>585</v>
      </c>
      <c r="C135" s="3" t="s">
        <v>586</v>
      </c>
      <c r="D135" s="3" t="s">
        <v>21</v>
      </c>
      <c r="E135" s="3">
        <f>(0.23+0.35)/2</f>
        <v>0.28999999999999998</v>
      </c>
      <c r="F135" s="3">
        <v>13</v>
      </c>
      <c r="H135" s="5" t="s">
        <v>587</v>
      </c>
      <c r="I135" s="3" t="s">
        <v>588</v>
      </c>
      <c r="J135" s="3" t="s">
        <v>589</v>
      </c>
      <c r="L135" s="3">
        <v>49700</v>
      </c>
      <c r="M135" s="6">
        <f>(42+65)/2</f>
        <v>53.5</v>
      </c>
      <c r="N135" s="6">
        <f>116/60</f>
        <v>1.9333333333333333</v>
      </c>
    </row>
    <row r="136" spans="1:17">
      <c r="A136" s="3">
        <v>135</v>
      </c>
      <c r="B136" s="4" t="s">
        <v>590</v>
      </c>
      <c r="C136" s="3" t="s">
        <v>591</v>
      </c>
      <c r="D136" s="3" t="s">
        <v>43</v>
      </c>
      <c r="E136" s="3">
        <v>1.6E-2</v>
      </c>
      <c r="F136" s="3">
        <v>6</v>
      </c>
      <c r="H136" s="5" t="s">
        <v>476</v>
      </c>
      <c r="I136" s="3" t="s">
        <v>477</v>
      </c>
      <c r="J136" s="3" t="s">
        <v>478</v>
      </c>
      <c r="M136" s="6"/>
      <c r="N136" s="6"/>
    </row>
    <row r="137" spans="1:17">
      <c r="A137" s="3">
        <v>136</v>
      </c>
      <c r="B137" s="4" t="s">
        <v>592</v>
      </c>
      <c r="C137" s="3" t="s">
        <v>593</v>
      </c>
      <c r="D137" s="3" t="s">
        <v>43</v>
      </c>
      <c r="E137" s="3">
        <v>2.5000000000000001E-2</v>
      </c>
      <c r="F137" s="3">
        <v>3</v>
      </c>
      <c r="H137" s="5" t="s">
        <v>594</v>
      </c>
      <c r="I137" s="3" t="s">
        <v>332</v>
      </c>
      <c r="J137" s="3" t="s">
        <v>333</v>
      </c>
      <c r="M137" s="6"/>
      <c r="N137" s="6"/>
    </row>
    <row r="138" spans="1:17">
      <c r="A138" s="3">
        <v>137</v>
      </c>
      <c r="B138" s="4" t="s">
        <v>595</v>
      </c>
      <c r="C138" s="3" t="s">
        <v>596</v>
      </c>
      <c r="D138" s="3" t="s">
        <v>32</v>
      </c>
      <c r="E138" s="9">
        <v>1.9E-2</v>
      </c>
      <c r="F138" s="3">
        <v>5</v>
      </c>
      <c r="H138" s="5" t="s">
        <v>597</v>
      </c>
      <c r="I138" s="3" t="s">
        <v>158</v>
      </c>
      <c r="J138" s="3" t="s">
        <v>159</v>
      </c>
    </row>
    <row r="139" spans="1:17">
      <c r="A139" s="3">
        <v>138</v>
      </c>
      <c r="B139" s="4" t="s">
        <v>598</v>
      </c>
      <c r="C139" s="3" t="s">
        <v>599</v>
      </c>
      <c r="D139" s="3" t="s">
        <v>43</v>
      </c>
      <c r="E139" s="3">
        <f>(5400+2700)/2</f>
        <v>4050</v>
      </c>
      <c r="F139" s="3">
        <v>26</v>
      </c>
      <c r="H139" s="10" t="s">
        <v>600</v>
      </c>
      <c r="I139" s="3" t="s">
        <v>601</v>
      </c>
      <c r="J139" s="3" t="s">
        <v>602</v>
      </c>
      <c r="L139" s="3">
        <v>5772</v>
      </c>
      <c r="M139" s="6">
        <f>+(1222+2105)/2</f>
        <v>1663.5</v>
      </c>
      <c r="N139" s="6"/>
    </row>
    <row r="140" spans="1:17">
      <c r="A140" s="3">
        <v>139</v>
      </c>
      <c r="B140" s="4" t="s">
        <v>603</v>
      </c>
      <c r="C140" s="3" t="s">
        <v>604</v>
      </c>
      <c r="D140" s="3" t="s">
        <v>32</v>
      </c>
      <c r="E140" s="3">
        <f>(180+225)/2</f>
        <v>202.5</v>
      </c>
      <c r="F140" s="3">
        <v>2.8</v>
      </c>
      <c r="H140" s="5" t="s">
        <v>605</v>
      </c>
      <c r="I140" s="3" t="s">
        <v>606</v>
      </c>
      <c r="J140" s="3" t="s">
        <v>607</v>
      </c>
      <c r="M140" s="6"/>
      <c r="N140" s="6"/>
    </row>
    <row r="141" spans="1:17">
      <c r="A141" s="3">
        <v>140</v>
      </c>
      <c r="B141" s="4" t="s">
        <v>608</v>
      </c>
      <c r="C141" s="3" t="s">
        <v>609</v>
      </c>
      <c r="D141" s="3" t="s">
        <v>32</v>
      </c>
      <c r="E141" s="3">
        <v>400</v>
      </c>
      <c r="F141" s="3">
        <v>2</v>
      </c>
      <c r="H141" s="5" t="s">
        <v>491</v>
      </c>
      <c r="I141" s="3" t="s">
        <v>492</v>
      </c>
      <c r="J141" s="3" t="s">
        <v>493</v>
      </c>
      <c r="M141" s="6"/>
      <c r="N141" s="6"/>
    </row>
    <row r="142" spans="1:17">
      <c r="A142" s="3">
        <v>141</v>
      </c>
      <c r="B142" s="4" t="s">
        <v>610</v>
      </c>
      <c r="C142" s="3" t="s">
        <v>611</v>
      </c>
      <c r="D142" s="3" t="s">
        <v>32</v>
      </c>
      <c r="E142" s="3">
        <v>690</v>
      </c>
      <c r="F142" s="3">
        <v>7</v>
      </c>
      <c r="H142" s="5" t="s">
        <v>249</v>
      </c>
      <c r="I142" s="3" t="s">
        <v>250</v>
      </c>
      <c r="J142" s="3" t="s">
        <v>251</v>
      </c>
      <c r="M142" s="6"/>
      <c r="N142" s="6"/>
    </row>
    <row r="143" spans="1:17">
      <c r="A143" s="3">
        <v>142</v>
      </c>
      <c r="B143" s="4" t="s">
        <v>612</v>
      </c>
      <c r="C143" s="3" t="s">
        <v>613</v>
      </c>
      <c r="D143" s="3" t="s">
        <v>43</v>
      </c>
      <c r="E143" s="3">
        <v>2.5</v>
      </c>
      <c r="F143" s="3">
        <v>17.600000000000001</v>
      </c>
      <c r="H143" s="5" t="s">
        <v>614</v>
      </c>
      <c r="I143" s="3" t="s">
        <v>615</v>
      </c>
      <c r="J143" s="3" t="s">
        <v>616</v>
      </c>
      <c r="L143" s="3">
        <v>1077</v>
      </c>
      <c r="M143" s="6">
        <v>124</v>
      </c>
      <c r="N143" s="6"/>
      <c r="Q143" s="3">
        <v>1172</v>
      </c>
    </row>
    <row r="144" spans="1:17">
      <c r="A144" s="3">
        <v>143</v>
      </c>
      <c r="B144" s="4" t="s">
        <v>617</v>
      </c>
      <c r="C144" s="3" t="s">
        <v>618</v>
      </c>
      <c r="D144" s="3" t="s">
        <v>43</v>
      </c>
      <c r="E144" s="3">
        <v>1.9</v>
      </c>
      <c r="F144" s="3">
        <v>18</v>
      </c>
      <c r="H144" s="5" t="s">
        <v>619</v>
      </c>
      <c r="I144" s="3" t="s">
        <v>620</v>
      </c>
      <c r="J144" s="3" t="s">
        <v>621</v>
      </c>
      <c r="M144" s="6"/>
      <c r="N144" s="6"/>
    </row>
    <row r="145" spans="1:17">
      <c r="A145" s="3">
        <v>144</v>
      </c>
      <c r="B145" s="4" t="s">
        <v>622</v>
      </c>
      <c r="C145" s="3" t="s">
        <v>623</v>
      </c>
      <c r="D145" s="3" t="s">
        <v>43</v>
      </c>
      <c r="E145" s="3">
        <f>+(1.6+2.1)/2</f>
        <v>1.85</v>
      </c>
      <c r="F145" s="3">
        <v>17</v>
      </c>
      <c r="H145" s="5" t="s">
        <v>624</v>
      </c>
      <c r="I145" s="3" t="s">
        <v>625</v>
      </c>
      <c r="J145" s="3" t="s">
        <v>626</v>
      </c>
      <c r="L145" s="3">
        <v>359</v>
      </c>
      <c r="M145" s="6">
        <v>120</v>
      </c>
      <c r="N145" s="6">
        <f>215/60</f>
        <v>3.5833333333333335</v>
      </c>
      <c r="P145" s="3">
        <v>14</v>
      </c>
      <c r="Q145" s="3">
        <v>519</v>
      </c>
    </row>
    <row r="146" spans="1:17">
      <c r="A146" s="3">
        <v>145</v>
      </c>
      <c r="B146" s="4" t="s">
        <v>627</v>
      </c>
      <c r="C146" s="3" t="s">
        <v>628</v>
      </c>
      <c r="D146" s="3" t="s">
        <v>43</v>
      </c>
      <c r="E146" s="3">
        <v>2.25</v>
      </c>
      <c r="F146" s="3">
        <v>17</v>
      </c>
      <c r="H146" s="11" t="s">
        <v>629</v>
      </c>
      <c r="I146" s="3" t="s">
        <v>630</v>
      </c>
      <c r="J146" s="3" t="s">
        <v>626</v>
      </c>
      <c r="L146" s="3">
        <v>417</v>
      </c>
      <c r="M146" s="6">
        <v>96</v>
      </c>
      <c r="N146" s="6">
        <f>190/60</f>
        <v>3.1666666666666665</v>
      </c>
      <c r="P146" s="3">
        <v>22</v>
      </c>
      <c r="Q146" s="3">
        <v>797</v>
      </c>
    </row>
    <row r="147" spans="1:17">
      <c r="A147" s="3">
        <v>146</v>
      </c>
      <c r="B147" s="4" t="s">
        <v>631</v>
      </c>
      <c r="C147" s="3" t="s">
        <v>632</v>
      </c>
      <c r="D147" s="3" t="s">
        <v>21</v>
      </c>
      <c r="E147" s="3">
        <v>1.55E-2</v>
      </c>
      <c r="F147" s="3">
        <v>5</v>
      </c>
      <c r="H147" s="5" t="s">
        <v>633</v>
      </c>
      <c r="I147" s="3" t="s">
        <v>453</v>
      </c>
      <c r="J147" s="3" t="s">
        <v>454</v>
      </c>
    </row>
    <row r="148" spans="1:17">
      <c r="A148" s="3">
        <v>147</v>
      </c>
      <c r="B148" s="4" t="s">
        <v>634</v>
      </c>
      <c r="C148" s="3" t="s">
        <v>635</v>
      </c>
      <c r="D148" s="3" t="s">
        <v>32</v>
      </c>
      <c r="E148" s="3">
        <v>4.8</v>
      </c>
      <c r="F148" s="3">
        <v>10</v>
      </c>
      <c r="H148" s="5" t="s">
        <v>636</v>
      </c>
      <c r="I148" s="3" t="s">
        <v>637</v>
      </c>
      <c r="J148" s="3" t="s">
        <v>638</v>
      </c>
      <c r="M148" s="6"/>
      <c r="N148" s="6"/>
    </row>
    <row r="149" spans="1:17">
      <c r="A149" s="3">
        <v>148</v>
      </c>
      <c r="B149" s="4" t="s">
        <v>639</v>
      </c>
      <c r="C149" s="3" t="s">
        <v>640</v>
      </c>
      <c r="D149" s="3" t="s">
        <v>32</v>
      </c>
      <c r="E149" s="3">
        <v>0.9</v>
      </c>
      <c r="F149" s="3">
        <v>0.5</v>
      </c>
      <c r="H149" s="5" t="s">
        <v>641</v>
      </c>
      <c r="I149" s="3" t="s">
        <v>542</v>
      </c>
      <c r="J149" s="3" t="s">
        <v>100</v>
      </c>
      <c r="M149" s="6"/>
      <c r="N149" s="6"/>
    </row>
    <row r="150" spans="1:17">
      <c r="A150" s="3">
        <v>149</v>
      </c>
      <c r="B150" s="4" t="s">
        <v>642</v>
      </c>
      <c r="C150" s="3" t="s">
        <v>643</v>
      </c>
      <c r="D150" s="3" t="s">
        <v>21</v>
      </c>
      <c r="E150" s="3">
        <v>0.9</v>
      </c>
      <c r="F150" s="3">
        <v>12</v>
      </c>
      <c r="H150" s="5" t="s">
        <v>644</v>
      </c>
      <c r="I150" s="3" t="s">
        <v>645</v>
      </c>
      <c r="J150" s="3" t="s">
        <v>646</v>
      </c>
      <c r="K150" s="3" t="s">
        <v>101</v>
      </c>
      <c r="L150" s="3">
        <v>2333</v>
      </c>
      <c r="M150" s="6">
        <f>(126+143)/2</f>
        <v>134.5</v>
      </c>
      <c r="N150" s="6">
        <v>80</v>
      </c>
      <c r="O150" s="3" t="s">
        <v>647</v>
      </c>
    </row>
    <row r="151" spans="1:17">
      <c r="A151" s="3">
        <v>150</v>
      </c>
      <c r="B151" s="4" t="s">
        <v>648</v>
      </c>
      <c r="C151" s="3" t="s">
        <v>649</v>
      </c>
      <c r="D151" s="3" t="s">
        <v>43</v>
      </c>
      <c r="E151" s="3">
        <v>3.5000000000000003E-2</v>
      </c>
      <c r="F151" s="3">
        <v>2</v>
      </c>
      <c r="H151" s="5" t="s">
        <v>205</v>
      </c>
      <c r="I151" s="3" t="s">
        <v>206</v>
      </c>
      <c r="J151" s="3" t="s">
        <v>207</v>
      </c>
      <c r="M151" s="6"/>
      <c r="N151" s="6"/>
    </row>
    <row r="152" spans="1:17">
      <c r="A152" s="3">
        <v>151</v>
      </c>
      <c r="B152" s="4" t="s">
        <v>650</v>
      </c>
      <c r="C152" s="3" t="s">
        <v>651</v>
      </c>
      <c r="D152" s="3" t="s">
        <v>43</v>
      </c>
      <c r="E152" s="3">
        <v>4.1000000000000002E-2</v>
      </c>
      <c r="F152" s="3">
        <v>5</v>
      </c>
      <c r="G152" s="3">
        <v>3.0000000000000001E-3</v>
      </c>
      <c r="H152" s="5" t="s">
        <v>652</v>
      </c>
      <c r="I152" s="3" t="s">
        <v>653</v>
      </c>
      <c r="J152" s="3" t="s">
        <v>654</v>
      </c>
      <c r="M152" s="6"/>
      <c r="N152" s="6"/>
    </row>
    <row r="153" spans="1:17">
      <c r="A153" s="3">
        <v>152</v>
      </c>
      <c r="B153" s="4" t="s">
        <v>655</v>
      </c>
      <c r="C153" s="3" t="s">
        <v>656</v>
      </c>
      <c r="D153" s="3" t="s">
        <v>43</v>
      </c>
      <c r="E153" s="3">
        <v>0.5</v>
      </c>
      <c r="F153" s="3">
        <v>9</v>
      </c>
      <c r="H153" s="5" t="s">
        <v>657</v>
      </c>
      <c r="I153" s="3" t="s">
        <v>658</v>
      </c>
      <c r="J153" s="3" t="s">
        <v>659</v>
      </c>
      <c r="M153" s="6"/>
      <c r="N153" s="6"/>
    </row>
    <row r="154" spans="1:17">
      <c r="A154" s="3">
        <v>153</v>
      </c>
      <c r="B154" s="4" t="s">
        <v>660</v>
      </c>
      <c r="C154" s="3" t="s">
        <v>661</v>
      </c>
      <c r="D154" s="3" t="s">
        <v>32</v>
      </c>
      <c r="E154" s="3">
        <v>19</v>
      </c>
      <c r="F154" s="3">
        <v>4</v>
      </c>
      <c r="H154" s="5" t="s">
        <v>662</v>
      </c>
      <c r="I154" s="3" t="s">
        <v>663</v>
      </c>
      <c r="J154" s="3" t="s">
        <v>664</v>
      </c>
    </row>
    <row r="155" spans="1:17">
      <c r="A155" s="3">
        <v>154</v>
      </c>
      <c r="B155" s="4" t="s">
        <v>665</v>
      </c>
      <c r="C155" s="3" t="s">
        <v>666</v>
      </c>
      <c r="D155" s="3" t="s">
        <v>43</v>
      </c>
      <c r="E155" s="3">
        <v>1.8</v>
      </c>
      <c r="F155" s="3">
        <v>7</v>
      </c>
      <c r="H155" s="5" t="s">
        <v>667</v>
      </c>
      <c r="I155" s="3" t="s">
        <v>668</v>
      </c>
      <c r="J155" s="3" t="s">
        <v>669</v>
      </c>
      <c r="M155" s="6"/>
      <c r="N155" s="6"/>
    </row>
    <row r="156" spans="1:17">
      <c r="A156" s="3">
        <v>155</v>
      </c>
      <c r="B156" s="4" t="s">
        <v>670</v>
      </c>
      <c r="C156" s="3" t="s">
        <v>671</v>
      </c>
      <c r="D156" s="3" t="s">
        <v>32</v>
      </c>
      <c r="E156" s="3">
        <v>2.5000000000000001E-2</v>
      </c>
      <c r="F156" s="3">
        <v>4</v>
      </c>
      <c r="H156" s="5" t="s">
        <v>672</v>
      </c>
      <c r="I156" s="3" t="s">
        <v>178</v>
      </c>
      <c r="J156" s="3" t="s">
        <v>179</v>
      </c>
      <c r="M156" s="6"/>
      <c r="N156" s="6"/>
    </row>
    <row r="157" spans="1:17">
      <c r="A157" s="3">
        <v>156</v>
      </c>
      <c r="B157" s="4" t="s">
        <v>673</v>
      </c>
      <c r="C157" s="3" t="s">
        <v>674</v>
      </c>
      <c r="D157" s="3" t="s">
        <v>32</v>
      </c>
      <c r="E157" s="3">
        <v>800</v>
      </c>
      <c r="F157" s="3">
        <v>12</v>
      </c>
      <c r="H157" s="5" t="s">
        <v>675</v>
      </c>
      <c r="I157" s="3" t="s">
        <v>137</v>
      </c>
      <c r="J157" s="3" t="s">
        <v>138</v>
      </c>
      <c r="M157" s="6"/>
      <c r="N157" s="6"/>
    </row>
    <row r="158" spans="1:17">
      <c r="A158" s="3">
        <v>157</v>
      </c>
      <c r="B158" s="4" t="s">
        <v>676</v>
      </c>
      <c r="C158" s="3" t="s">
        <v>677</v>
      </c>
      <c r="D158" s="3" t="s">
        <v>43</v>
      </c>
      <c r="E158" s="3">
        <v>1.0500000000000001E-2</v>
      </c>
      <c r="F158" s="3">
        <v>2</v>
      </c>
      <c r="H158" s="5" t="s">
        <v>678</v>
      </c>
      <c r="I158" s="3" t="s">
        <v>322</v>
      </c>
      <c r="J158" s="3" t="s">
        <v>323</v>
      </c>
      <c r="M158" s="6"/>
      <c r="N158" s="6"/>
    </row>
    <row r="159" spans="1:17">
      <c r="A159" s="3">
        <v>158</v>
      </c>
      <c r="B159" s="4" t="s">
        <v>679</v>
      </c>
      <c r="C159" s="3" t="s">
        <v>680</v>
      </c>
      <c r="D159" s="3" t="s">
        <v>32</v>
      </c>
      <c r="E159" s="3">
        <v>5.5</v>
      </c>
      <c r="F159" s="3">
        <v>10</v>
      </c>
      <c r="H159" s="5" t="s">
        <v>681</v>
      </c>
      <c r="I159" s="3" t="s">
        <v>682</v>
      </c>
      <c r="J159" s="3" t="s">
        <v>683</v>
      </c>
      <c r="M159" s="6"/>
      <c r="N159" s="6"/>
    </row>
    <row r="160" spans="1:17">
      <c r="A160" s="3">
        <v>159</v>
      </c>
      <c r="B160" s="4" t="s">
        <v>684</v>
      </c>
      <c r="C160" s="3" t="s">
        <v>685</v>
      </c>
      <c r="D160" s="3" t="s">
        <v>21</v>
      </c>
      <c r="E160" s="3">
        <f>(105+168)/2</f>
        <v>136.5</v>
      </c>
      <c r="F160" s="3">
        <v>25</v>
      </c>
      <c r="H160" s="5" t="s">
        <v>686</v>
      </c>
      <c r="I160" s="3" t="s">
        <v>687</v>
      </c>
      <c r="J160" s="3" t="s">
        <v>688</v>
      </c>
      <c r="M160" s="6"/>
      <c r="N160" s="6">
        <f>(39+56)/2</f>
        <v>47.5</v>
      </c>
    </row>
    <row r="161" spans="1:17">
      <c r="A161" s="3">
        <v>160</v>
      </c>
      <c r="B161" s="4" t="s">
        <v>689</v>
      </c>
      <c r="C161" s="3" t="s">
        <v>690</v>
      </c>
      <c r="D161" s="3" t="s">
        <v>43</v>
      </c>
      <c r="E161" s="3">
        <v>2.1999999999999999E-2</v>
      </c>
      <c r="F161" s="3">
        <v>2.5</v>
      </c>
      <c r="H161" s="5" t="s">
        <v>691</v>
      </c>
      <c r="I161" s="3" t="s">
        <v>302</v>
      </c>
      <c r="J161" s="3" t="s">
        <v>303</v>
      </c>
      <c r="M161" s="6"/>
      <c r="N161" s="6"/>
    </row>
    <row r="162" spans="1:17">
      <c r="A162" s="3">
        <v>161</v>
      </c>
      <c r="B162" s="4" t="s">
        <v>692</v>
      </c>
      <c r="C162" s="3" t="s">
        <v>693</v>
      </c>
      <c r="D162" s="3" t="s">
        <v>43</v>
      </c>
      <c r="E162" s="3">
        <f>(24+65)/2</f>
        <v>44.5</v>
      </c>
      <c r="F162" s="3">
        <v>16</v>
      </c>
      <c r="H162" s="5" t="s">
        <v>694</v>
      </c>
      <c r="I162" s="3" t="s">
        <v>695</v>
      </c>
      <c r="J162" s="3" t="s">
        <v>696</v>
      </c>
      <c r="M162" s="6"/>
      <c r="N162" s="6"/>
    </row>
    <row r="163" spans="1:17">
      <c r="A163" s="3">
        <v>162</v>
      </c>
      <c r="B163" s="4" t="s">
        <v>697</v>
      </c>
      <c r="C163" s="3" t="s">
        <v>698</v>
      </c>
      <c r="D163" s="3" t="s">
        <v>32</v>
      </c>
      <c r="E163" s="3">
        <v>5.0000000000000001E-3</v>
      </c>
      <c r="F163" s="3">
        <v>1</v>
      </c>
      <c r="H163" s="5" t="s">
        <v>699</v>
      </c>
      <c r="I163" s="3" t="s">
        <v>700</v>
      </c>
      <c r="J163" s="3" t="s">
        <v>701</v>
      </c>
    </row>
    <row r="164" spans="1:17">
      <c r="A164" s="3">
        <v>163</v>
      </c>
      <c r="B164" s="4" t="s">
        <v>702</v>
      </c>
      <c r="C164" s="3" t="s">
        <v>703</v>
      </c>
      <c r="D164" s="3" t="s">
        <v>21</v>
      </c>
      <c r="E164" s="3">
        <v>0.73</v>
      </c>
      <c r="F164" s="3">
        <v>20</v>
      </c>
      <c r="H164" s="5" t="s">
        <v>704</v>
      </c>
      <c r="I164" s="3" t="s">
        <v>705</v>
      </c>
      <c r="J164" s="3" t="s">
        <v>706</v>
      </c>
      <c r="K164" s="3" t="s">
        <v>101</v>
      </c>
      <c r="L164" s="3">
        <v>1469</v>
      </c>
      <c r="M164" s="6">
        <f>(95+98+61)/3</f>
        <v>84.666666666666671</v>
      </c>
      <c r="N164" s="6">
        <f>+(180+108+37)/(3*60)</f>
        <v>1.8055555555555556</v>
      </c>
    </row>
    <row r="165" spans="1:17">
      <c r="A165" s="3">
        <v>164</v>
      </c>
      <c r="B165" s="4" t="s">
        <v>707</v>
      </c>
      <c r="C165" s="3" t="s">
        <v>708</v>
      </c>
      <c r="D165" s="3" t="s">
        <v>43</v>
      </c>
      <c r="E165" s="3">
        <v>2.6</v>
      </c>
      <c r="F165" s="3">
        <v>5</v>
      </c>
      <c r="H165" s="5" t="s">
        <v>709</v>
      </c>
      <c r="I165" s="3" t="s">
        <v>668</v>
      </c>
      <c r="J165" s="3" t="s">
        <v>669</v>
      </c>
      <c r="M165" s="6"/>
      <c r="N165" s="6"/>
    </row>
    <row r="166" spans="1:17">
      <c r="A166" s="3">
        <v>165</v>
      </c>
      <c r="B166" s="4" t="s">
        <v>710</v>
      </c>
      <c r="C166" s="3" t="s">
        <v>711</v>
      </c>
      <c r="D166" s="3" t="s">
        <v>43</v>
      </c>
      <c r="E166" s="3">
        <v>0.01</v>
      </c>
      <c r="F166" s="3">
        <v>3</v>
      </c>
      <c r="H166" s="5" t="s">
        <v>712</v>
      </c>
      <c r="I166" s="3" t="s">
        <v>713</v>
      </c>
      <c r="J166" s="3" t="s">
        <v>714</v>
      </c>
      <c r="L166" s="3">
        <v>9</v>
      </c>
      <c r="M166" s="6">
        <v>2</v>
      </c>
      <c r="N166" s="6"/>
    </row>
    <row r="167" spans="1:17">
      <c r="A167" s="3">
        <v>166</v>
      </c>
      <c r="B167" s="4" t="s">
        <v>715</v>
      </c>
      <c r="C167" s="3" t="s">
        <v>716</v>
      </c>
      <c r="D167" s="3" t="s">
        <v>21</v>
      </c>
      <c r="E167" s="3">
        <v>5.6</v>
      </c>
      <c r="F167" s="3">
        <v>20</v>
      </c>
      <c r="H167" s="11" t="s">
        <v>717</v>
      </c>
      <c r="I167" s="3" t="s">
        <v>718</v>
      </c>
      <c r="J167" s="3" t="s">
        <v>719</v>
      </c>
      <c r="L167" s="3">
        <v>512</v>
      </c>
      <c r="M167" s="6">
        <f>(163+116)/2</f>
        <v>139.5</v>
      </c>
      <c r="N167" s="6">
        <v>24.6</v>
      </c>
      <c r="P167" s="3">
        <v>21</v>
      </c>
      <c r="Q167" s="3">
        <v>1300</v>
      </c>
    </row>
    <row r="168" spans="1:17">
      <c r="A168" s="3">
        <v>167</v>
      </c>
      <c r="B168" s="4" t="s">
        <v>720</v>
      </c>
      <c r="C168" s="3" t="s">
        <v>721</v>
      </c>
      <c r="D168" s="3" t="s">
        <v>21</v>
      </c>
      <c r="E168" s="3">
        <v>5.8</v>
      </c>
      <c r="F168" s="3">
        <v>20.6</v>
      </c>
      <c r="H168" s="5" t="s">
        <v>722</v>
      </c>
      <c r="I168" s="3" t="s">
        <v>723</v>
      </c>
      <c r="J168" s="3" t="s">
        <v>724</v>
      </c>
      <c r="K168" s="3" t="s">
        <v>725</v>
      </c>
      <c r="L168" s="3">
        <v>1250</v>
      </c>
      <c r="M168" s="6">
        <v>220</v>
      </c>
      <c r="N168" s="6">
        <v>27.8</v>
      </c>
    </row>
    <row r="169" spans="1:17">
      <c r="A169" s="3">
        <v>168</v>
      </c>
      <c r="B169" s="4" t="s">
        <v>726</v>
      </c>
      <c r="C169" s="3" t="s">
        <v>727</v>
      </c>
      <c r="D169" s="3" t="s">
        <v>21</v>
      </c>
      <c r="E169" s="3">
        <v>5.5</v>
      </c>
      <c r="F169" s="3">
        <v>19</v>
      </c>
      <c r="H169" s="5"/>
      <c r="I169" s="3" t="s">
        <v>149</v>
      </c>
      <c r="J169" s="3" t="s">
        <v>56</v>
      </c>
      <c r="M169" s="6"/>
      <c r="N169" s="6"/>
    </row>
    <row r="170" spans="1:17">
      <c r="A170" s="3">
        <v>169</v>
      </c>
      <c r="B170" s="4" t="s">
        <v>728</v>
      </c>
      <c r="C170" s="3" t="s">
        <v>729</v>
      </c>
      <c r="D170" s="3" t="s">
        <v>21</v>
      </c>
      <c r="E170" s="3">
        <v>0.08</v>
      </c>
      <c r="F170" s="3">
        <v>13.2</v>
      </c>
      <c r="H170" s="5" t="s">
        <v>730</v>
      </c>
      <c r="I170" s="3" t="s">
        <v>731</v>
      </c>
      <c r="J170" s="3" t="s">
        <v>732</v>
      </c>
      <c r="M170" s="6"/>
      <c r="N170" s="6"/>
    </row>
    <row r="171" spans="1:17">
      <c r="A171" s="3">
        <v>170</v>
      </c>
      <c r="B171" s="4" t="s">
        <v>733</v>
      </c>
      <c r="C171" s="3" t="s">
        <v>734</v>
      </c>
      <c r="D171" s="3" t="s">
        <v>32</v>
      </c>
      <c r="E171" s="3">
        <v>3.1</v>
      </c>
      <c r="F171" s="3">
        <v>9.1999999999999993</v>
      </c>
      <c r="H171" s="5" t="s">
        <v>735</v>
      </c>
      <c r="I171" s="3" t="s">
        <v>736</v>
      </c>
      <c r="J171" s="3" t="s">
        <v>737</v>
      </c>
    </row>
    <row r="172" spans="1:17">
      <c r="A172" s="3">
        <v>171</v>
      </c>
      <c r="B172" s="4" t="s">
        <v>738</v>
      </c>
      <c r="C172" s="3" t="s">
        <v>739</v>
      </c>
      <c r="D172" s="3" t="s">
        <v>43</v>
      </c>
      <c r="E172" s="3">
        <f>+(0.052+0.076)/2</f>
        <v>6.4000000000000001E-2</v>
      </c>
      <c r="F172" s="3">
        <v>5</v>
      </c>
      <c r="H172" s="5" t="s">
        <v>740</v>
      </c>
      <c r="I172" s="3" t="s">
        <v>741</v>
      </c>
      <c r="J172" s="3" t="s">
        <v>742</v>
      </c>
      <c r="M172" s="6"/>
      <c r="N172" s="6"/>
    </row>
    <row r="173" spans="1:17">
      <c r="A173" s="3">
        <v>172</v>
      </c>
      <c r="B173" s="4" t="s">
        <v>743</v>
      </c>
      <c r="C173" s="3" t="s">
        <v>744</v>
      </c>
      <c r="D173" s="3" t="s">
        <v>32</v>
      </c>
      <c r="E173" s="3">
        <v>0.21</v>
      </c>
      <c r="F173" s="3">
        <v>5</v>
      </c>
      <c r="H173" s="5" t="s">
        <v>745</v>
      </c>
      <c r="I173" s="3" t="s">
        <v>746</v>
      </c>
      <c r="J173" s="3" t="s">
        <v>747</v>
      </c>
    </row>
    <row r="174" spans="1:17">
      <c r="A174" s="3">
        <v>173</v>
      </c>
      <c r="B174" s="4" t="s">
        <v>748</v>
      </c>
      <c r="C174" s="3" t="s">
        <v>749</v>
      </c>
      <c r="D174" s="3" t="s">
        <v>43</v>
      </c>
      <c r="E174" s="3">
        <v>8.1999999999999993</v>
      </c>
      <c r="F174" s="3">
        <v>22</v>
      </c>
      <c r="H174" s="5" t="s">
        <v>750</v>
      </c>
      <c r="I174" s="3" t="s">
        <v>751</v>
      </c>
      <c r="J174" s="3" t="s">
        <v>752</v>
      </c>
    </row>
    <row r="175" spans="1:17">
      <c r="A175" s="3">
        <v>174</v>
      </c>
      <c r="B175" s="4" t="s">
        <v>753</v>
      </c>
      <c r="C175" s="3" t="s">
        <v>754</v>
      </c>
      <c r="D175" s="3" t="s">
        <v>21</v>
      </c>
      <c r="E175" s="3">
        <v>7.5</v>
      </c>
      <c r="F175" s="3">
        <v>20</v>
      </c>
      <c r="G175" s="3">
        <v>5</v>
      </c>
      <c r="H175" s="5" t="s">
        <v>755</v>
      </c>
      <c r="I175" s="3" t="s">
        <v>756</v>
      </c>
      <c r="J175" s="3" t="s">
        <v>757</v>
      </c>
      <c r="K175" s="3" t="s">
        <v>185</v>
      </c>
      <c r="L175" s="3">
        <v>1466</v>
      </c>
      <c r="M175" s="6">
        <v>345</v>
      </c>
      <c r="N175" s="6">
        <v>12</v>
      </c>
      <c r="O175" s="3" t="s">
        <v>758</v>
      </c>
      <c r="P175" s="3">
        <v>200</v>
      </c>
      <c r="Q175" s="3">
        <v>2000</v>
      </c>
    </row>
    <row r="176" spans="1:17">
      <c r="A176" s="3">
        <v>175</v>
      </c>
      <c r="B176" s="4" t="s">
        <v>759</v>
      </c>
      <c r="C176" s="3" t="s">
        <v>760</v>
      </c>
      <c r="D176" s="3" t="s">
        <v>43</v>
      </c>
      <c r="E176" s="3">
        <v>0.6</v>
      </c>
      <c r="F176" s="3">
        <v>15</v>
      </c>
      <c r="H176" s="5" t="s">
        <v>761</v>
      </c>
      <c r="I176" s="3" t="s">
        <v>762</v>
      </c>
      <c r="J176" s="3" t="s">
        <v>763</v>
      </c>
      <c r="L176" s="3">
        <v>781</v>
      </c>
      <c r="M176" s="6"/>
      <c r="N176" s="6"/>
    </row>
    <row r="177" spans="1:14">
      <c r="A177" s="3">
        <v>176</v>
      </c>
      <c r="B177" s="4" t="s">
        <v>764</v>
      </c>
      <c r="C177" s="3" t="s">
        <v>765</v>
      </c>
      <c r="D177" s="3" t="s">
        <v>43</v>
      </c>
      <c r="E177" s="3">
        <v>0.62</v>
      </c>
      <c r="F177" s="3">
        <v>9.5</v>
      </c>
      <c r="H177" s="5" t="s">
        <v>766</v>
      </c>
      <c r="I177" s="3" t="s">
        <v>767</v>
      </c>
      <c r="J177" s="3" t="s">
        <v>768</v>
      </c>
      <c r="L177" s="3">
        <v>858</v>
      </c>
      <c r="M177" s="6">
        <v>100.5</v>
      </c>
      <c r="N177" s="6"/>
    </row>
    <row r="178" spans="1:14">
      <c r="A178" s="3">
        <v>177</v>
      </c>
      <c r="B178" s="4" t="s">
        <v>769</v>
      </c>
      <c r="C178" s="3" t="s">
        <v>770</v>
      </c>
      <c r="D178" s="3" t="s">
        <v>32</v>
      </c>
      <c r="E178" s="3">
        <v>3.9</v>
      </c>
      <c r="F178" s="3">
        <v>3</v>
      </c>
      <c r="H178" s="5" t="s">
        <v>311</v>
      </c>
      <c r="I178" s="3" t="s">
        <v>312</v>
      </c>
      <c r="J178" s="3" t="s">
        <v>313</v>
      </c>
      <c r="M178" s="6"/>
      <c r="N178" s="6"/>
    </row>
    <row r="179" spans="1:14">
      <c r="A179" s="3">
        <v>178</v>
      </c>
      <c r="B179" s="4" t="s">
        <v>771</v>
      </c>
      <c r="C179" s="3" t="s">
        <v>772</v>
      </c>
      <c r="D179" s="3" t="s">
        <v>32</v>
      </c>
      <c r="E179" s="3">
        <v>3</v>
      </c>
      <c r="F179" s="3">
        <v>2</v>
      </c>
      <c r="H179" s="5" t="s">
        <v>773</v>
      </c>
      <c r="I179" s="3" t="s">
        <v>137</v>
      </c>
      <c r="J179" s="3" t="s">
        <v>138</v>
      </c>
      <c r="M179" s="6"/>
      <c r="N179" s="6"/>
    </row>
    <row r="180" spans="1:14">
      <c r="A180" s="3">
        <v>179</v>
      </c>
      <c r="B180" s="4" t="s">
        <v>774</v>
      </c>
      <c r="C180" s="3" t="s">
        <v>775</v>
      </c>
      <c r="D180" s="3" t="s">
        <v>43</v>
      </c>
      <c r="E180" s="3">
        <v>0.2</v>
      </c>
      <c r="F180" s="3">
        <v>3</v>
      </c>
      <c r="H180" s="5" t="s">
        <v>776</v>
      </c>
      <c r="I180" s="3" t="s">
        <v>777</v>
      </c>
      <c r="J180" s="3" t="s">
        <v>778</v>
      </c>
      <c r="M180" s="6"/>
      <c r="N180" s="6"/>
    </row>
    <row r="181" spans="1:14">
      <c r="A181" s="3">
        <v>180</v>
      </c>
      <c r="B181" s="4" t="s">
        <v>779</v>
      </c>
      <c r="C181" s="3" t="s">
        <v>780</v>
      </c>
      <c r="D181" s="3" t="s">
        <v>32</v>
      </c>
      <c r="E181" s="8">
        <f>0.015</f>
        <v>1.4999999999999999E-2</v>
      </c>
      <c r="F181" s="3">
        <v>3</v>
      </c>
      <c r="H181" s="5" t="s">
        <v>781</v>
      </c>
      <c r="I181" s="3" t="s">
        <v>782</v>
      </c>
      <c r="J181" s="3" t="s">
        <v>783</v>
      </c>
    </row>
    <row r="182" spans="1:14">
      <c r="A182" s="3">
        <v>181</v>
      </c>
      <c r="B182" s="4" t="s">
        <v>784</v>
      </c>
      <c r="C182" s="3" t="s">
        <v>785</v>
      </c>
      <c r="D182" s="3" t="s">
        <v>43</v>
      </c>
      <c r="E182" s="3">
        <v>15</v>
      </c>
      <c r="F182" s="3">
        <v>22</v>
      </c>
      <c r="H182" s="5" t="s">
        <v>486</v>
      </c>
      <c r="I182" s="3" t="s">
        <v>786</v>
      </c>
      <c r="J182" s="3" t="s">
        <v>787</v>
      </c>
      <c r="M182" s="6"/>
      <c r="N182" s="6"/>
    </row>
    <row r="183" spans="1:14">
      <c r="A183" s="3">
        <v>182</v>
      </c>
      <c r="B183" s="4" t="s">
        <v>788</v>
      </c>
      <c r="C183" s="3" t="s">
        <v>789</v>
      </c>
      <c r="D183" s="3" t="s">
        <v>43</v>
      </c>
      <c r="E183" s="3">
        <f>(4.3+2.9)/2</f>
        <v>3.5999999999999996</v>
      </c>
      <c r="F183" s="3">
        <v>18</v>
      </c>
      <c r="H183" s="5" t="s">
        <v>373</v>
      </c>
      <c r="I183" s="3" t="s">
        <v>374</v>
      </c>
      <c r="J183" s="3" t="s">
        <v>359</v>
      </c>
      <c r="L183" s="3">
        <v>2.2000000000000002</v>
      </c>
      <c r="M183" s="6">
        <v>1.2</v>
      </c>
      <c r="N183" s="6"/>
    </row>
    <row r="184" spans="1:14">
      <c r="A184" s="3">
        <v>183</v>
      </c>
      <c r="B184" s="4" t="s">
        <v>790</v>
      </c>
      <c r="C184" s="3" t="s">
        <v>791</v>
      </c>
      <c r="D184" s="3" t="s">
        <v>43</v>
      </c>
      <c r="E184" s="3">
        <f>(2600+5300+2640+2600+2490+3850)/6</f>
        <v>3246.6666666666665</v>
      </c>
      <c r="F184" s="3">
        <v>48.7</v>
      </c>
      <c r="H184" s="5" t="s">
        <v>792</v>
      </c>
      <c r="I184" s="3" t="s">
        <v>793</v>
      </c>
      <c r="J184" s="3" t="s">
        <v>794</v>
      </c>
      <c r="K184" s="3" t="s">
        <v>185</v>
      </c>
      <c r="L184" s="3">
        <f>(30000+12000+57000)/3</f>
        <v>33000</v>
      </c>
      <c r="M184" s="6">
        <f>(6+8.5+3.5)/3</f>
        <v>6</v>
      </c>
      <c r="N184" s="6"/>
    </row>
    <row r="185" spans="1:14">
      <c r="A185" s="3">
        <v>184</v>
      </c>
      <c r="B185" s="4" t="s">
        <v>795</v>
      </c>
      <c r="C185" s="3" t="s">
        <v>796</v>
      </c>
      <c r="D185" s="3" t="s">
        <v>32</v>
      </c>
      <c r="E185" s="3">
        <v>3.5999999999999999E-3</v>
      </c>
      <c r="F185" s="3">
        <v>5</v>
      </c>
      <c r="H185" s="5" t="s">
        <v>797</v>
      </c>
      <c r="I185" s="3" t="s">
        <v>798</v>
      </c>
      <c r="J185" s="3" t="s">
        <v>799</v>
      </c>
      <c r="M185" s="6"/>
      <c r="N185" s="6"/>
    </row>
    <row r="186" spans="1:14">
      <c r="A186" s="3">
        <v>185</v>
      </c>
      <c r="B186" s="4" t="s">
        <v>800</v>
      </c>
      <c r="C186" s="3" t="s">
        <v>801</v>
      </c>
      <c r="D186" s="3" t="s">
        <v>43</v>
      </c>
      <c r="E186" s="3">
        <v>6.5</v>
      </c>
      <c r="F186" s="3">
        <v>15</v>
      </c>
      <c r="H186" s="5" t="s">
        <v>802</v>
      </c>
      <c r="I186" s="3" t="s">
        <v>803</v>
      </c>
      <c r="J186" s="3" t="s">
        <v>804</v>
      </c>
      <c r="M186" s="6"/>
      <c r="N186" s="6"/>
    </row>
    <row r="187" spans="1:14">
      <c r="A187" s="3">
        <v>186</v>
      </c>
      <c r="B187" s="4" t="s">
        <v>805</v>
      </c>
      <c r="C187" s="3" t="s">
        <v>806</v>
      </c>
      <c r="D187" s="3" t="s">
        <v>43</v>
      </c>
      <c r="E187" s="3">
        <v>5.7</v>
      </c>
      <c r="F187" s="3">
        <v>4.9000000000000004</v>
      </c>
      <c r="I187" s="3" t="s">
        <v>807</v>
      </c>
      <c r="J187" s="3" t="s">
        <v>808</v>
      </c>
    </row>
    <row r="188" spans="1:14">
      <c r="A188" s="3">
        <v>187</v>
      </c>
      <c r="B188" s="4" t="s">
        <v>809</v>
      </c>
      <c r="C188" s="3" t="s">
        <v>810</v>
      </c>
      <c r="D188" s="3" t="s">
        <v>21</v>
      </c>
      <c r="E188" s="3">
        <f>(6.5+4.1)/2</f>
        <v>5.3</v>
      </c>
      <c r="F188" s="3">
        <v>10</v>
      </c>
      <c r="H188" s="5" t="s">
        <v>811</v>
      </c>
      <c r="I188" s="3" t="s">
        <v>812</v>
      </c>
      <c r="J188" s="3" t="s">
        <v>813</v>
      </c>
      <c r="M188" s="6"/>
      <c r="N188" s="6"/>
    </row>
    <row r="189" spans="1:14">
      <c r="A189" s="3">
        <v>188</v>
      </c>
      <c r="B189" s="4" t="s">
        <v>814</v>
      </c>
      <c r="C189" s="3" t="s">
        <v>815</v>
      </c>
      <c r="D189" s="3" t="s">
        <v>21</v>
      </c>
      <c r="E189" s="3">
        <v>10</v>
      </c>
      <c r="F189" s="3">
        <v>11.8</v>
      </c>
      <c r="H189" s="5" t="s">
        <v>816</v>
      </c>
      <c r="I189" s="3" t="s">
        <v>817</v>
      </c>
      <c r="J189" s="3" t="s">
        <v>818</v>
      </c>
      <c r="L189" s="3">
        <v>634</v>
      </c>
      <c r="M189" s="6"/>
      <c r="N189" s="6">
        <f>(39+114)/2</f>
        <v>76.5</v>
      </c>
    </row>
    <row r="190" spans="1:14">
      <c r="A190" s="3">
        <v>189</v>
      </c>
      <c r="B190" s="4" t="s">
        <v>819</v>
      </c>
      <c r="C190" s="3" t="s">
        <v>820</v>
      </c>
      <c r="D190" s="3" t="s">
        <v>43</v>
      </c>
      <c r="E190" s="3">
        <v>6.4</v>
      </c>
      <c r="F190" s="3">
        <v>13.6</v>
      </c>
      <c r="H190" s="5" t="s">
        <v>821</v>
      </c>
      <c r="I190" s="3" t="s">
        <v>822</v>
      </c>
      <c r="J190" s="3" t="s">
        <v>823</v>
      </c>
      <c r="M190" s="6"/>
      <c r="N190" s="6"/>
    </row>
    <row r="191" spans="1:14">
      <c r="A191" s="3">
        <v>190</v>
      </c>
      <c r="B191" s="4" t="s">
        <v>824</v>
      </c>
      <c r="C191" s="3" t="s">
        <v>825</v>
      </c>
      <c r="D191" s="3" t="s">
        <v>43</v>
      </c>
      <c r="E191" s="3">
        <f>+(9+6.5)/2</f>
        <v>7.75</v>
      </c>
      <c r="F191" s="3">
        <v>17.100000000000001</v>
      </c>
      <c r="H191" s="5"/>
      <c r="I191" s="3" t="s">
        <v>826</v>
      </c>
      <c r="J191" s="3" t="s">
        <v>827</v>
      </c>
      <c r="L191" s="3">
        <v>774</v>
      </c>
      <c r="M191" s="6">
        <v>116.5</v>
      </c>
      <c r="N191" s="6"/>
    </row>
    <row r="192" spans="1:14">
      <c r="A192" s="3">
        <v>191</v>
      </c>
      <c r="B192" s="4" t="s">
        <v>828</v>
      </c>
      <c r="C192" s="3" t="s">
        <v>829</v>
      </c>
      <c r="D192" s="3" t="s">
        <v>43</v>
      </c>
      <c r="E192" s="3">
        <v>6.5</v>
      </c>
      <c r="F192" s="3">
        <v>16.7</v>
      </c>
      <c r="H192" s="5" t="s">
        <v>148</v>
      </c>
      <c r="I192" s="3" t="s">
        <v>149</v>
      </c>
      <c r="J192" s="3" t="s">
        <v>56</v>
      </c>
    </row>
    <row r="193" spans="1:16">
      <c r="A193" s="3">
        <v>192</v>
      </c>
      <c r="B193" s="4" t="s">
        <v>830</v>
      </c>
      <c r="C193" s="3" t="s">
        <v>831</v>
      </c>
      <c r="D193" s="3" t="s">
        <v>43</v>
      </c>
      <c r="E193" s="3">
        <v>114</v>
      </c>
      <c r="F193" s="3">
        <v>21</v>
      </c>
      <c r="H193" s="5" t="s">
        <v>832</v>
      </c>
      <c r="I193" s="3" t="s">
        <v>833</v>
      </c>
      <c r="J193" s="3" t="s">
        <v>834</v>
      </c>
      <c r="M193" s="6"/>
      <c r="N193" s="6"/>
    </row>
    <row r="194" spans="1:16">
      <c r="A194" s="3">
        <v>193</v>
      </c>
      <c r="B194" s="4" t="s">
        <v>835</v>
      </c>
      <c r="C194" s="3" t="s">
        <v>836</v>
      </c>
      <c r="D194" s="3" t="s">
        <v>21</v>
      </c>
      <c r="E194" s="3">
        <v>1.4E-2</v>
      </c>
      <c r="F194" s="3">
        <v>9</v>
      </c>
      <c r="H194" s="5" t="s">
        <v>837</v>
      </c>
      <c r="I194" s="3" t="s">
        <v>838</v>
      </c>
      <c r="J194" s="3" t="s">
        <v>839</v>
      </c>
      <c r="M194" s="6"/>
      <c r="N194" s="6"/>
    </row>
    <row r="195" spans="1:16">
      <c r="A195" s="3">
        <v>194</v>
      </c>
      <c r="B195" s="4" t="s">
        <v>840</v>
      </c>
      <c r="C195" s="3" t="s">
        <v>841</v>
      </c>
      <c r="D195" s="3" t="s">
        <v>43</v>
      </c>
      <c r="E195" s="3">
        <v>16</v>
      </c>
      <c r="F195" s="3">
        <v>20</v>
      </c>
      <c r="H195" s="5" t="s">
        <v>842</v>
      </c>
      <c r="I195" s="3" t="s">
        <v>843</v>
      </c>
      <c r="J195" s="3" t="s">
        <v>844</v>
      </c>
    </row>
    <row r="196" spans="1:16">
      <c r="A196" s="3">
        <v>195</v>
      </c>
      <c r="B196" s="4" t="s">
        <v>845</v>
      </c>
      <c r="C196" s="3" t="s">
        <v>846</v>
      </c>
      <c r="D196" s="3" t="s">
        <v>43</v>
      </c>
      <c r="E196" s="3">
        <v>0.06</v>
      </c>
      <c r="F196" s="3">
        <v>2.5</v>
      </c>
      <c r="H196" s="5" t="s">
        <v>691</v>
      </c>
      <c r="I196" s="3" t="s">
        <v>302</v>
      </c>
      <c r="J196" s="3" t="s">
        <v>303</v>
      </c>
      <c r="M196" s="6"/>
      <c r="N196" s="6"/>
    </row>
    <row r="197" spans="1:16">
      <c r="A197" s="3">
        <v>196</v>
      </c>
      <c r="B197" s="4" t="s">
        <v>847</v>
      </c>
      <c r="C197" s="3" t="s">
        <v>848</v>
      </c>
      <c r="D197" s="3" t="s">
        <v>43</v>
      </c>
      <c r="E197" s="3">
        <v>3.9E-2</v>
      </c>
      <c r="F197" s="3">
        <v>2.2000000000000002</v>
      </c>
      <c r="H197" s="5" t="s">
        <v>849</v>
      </c>
      <c r="I197" s="3" t="s">
        <v>850</v>
      </c>
      <c r="J197" s="3" t="s">
        <v>851</v>
      </c>
      <c r="M197" s="6"/>
      <c r="N197" s="6"/>
    </row>
    <row r="198" spans="1:16">
      <c r="A198" s="3">
        <v>197</v>
      </c>
      <c r="B198" s="4" t="s">
        <v>852</v>
      </c>
      <c r="C198" s="3" t="s">
        <v>853</v>
      </c>
      <c r="D198" s="3" t="s">
        <v>43</v>
      </c>
      <c r="E198" s="3">
        <f>(8.2+5.4)/4</f>
        <v>3.4</v>
      </c>
      <c r="F198" s="3">
        <v>8</v>
      </c>
      <c r="H198" s="5" t="s">
        <v>854</v>
      </c>
      <c r="I198" s="3" t="s">
        <v>855</v>
      </c>
      <c r="J198" s="3" t="s">
        <v>856</v>
      </c>
      <c r="M198" s="6"/>
      <c r="N198" s="6"/>
    </row>
    <row r="199" spans="1:16">
      <c r="A199" s="3">
        <v>198</v>
      </c>
      <c r="B199" s="4" t="s">
        <v>857</v>
      </c>
      <c r="C199" s="3" t="s">
        <v>858</v>
      </c>
      <c r="D199" s="3" t="s">
        <v>32</v>
      </c>
      <c r="E199" s="3">
        <v>0.95</v>
      </c>
      <c r="F199" s="3">
        <v>2</v>
      </c>
      <c r="H199" s="5" t="s">
        <v>859</v>
      </c>
      <c r="I199" s="3" t="s">
        <v>860</v>
      </c>
      <c r="J199" s="3" t="s">
        <v>861</v>
      </c>
    </row>
    <row r="200" spans="1:16">
      <c r="A200" s="3">
        <v>199</v>
      </c>
      <c r="B200" s="4" t="s">
        <v>862</v>
      </c>
      <c r="C200" s="3" t="s">
        <v>863</v>
      </c>
      <c r="D200" s="3" t="s">
        <v>43</v>
      </c>
      <c r="E200" s="3">
        <f>3.4/2</f>
        <v>1.7</v>
      </c>
      <c r="F200" s="3">
        <v>16</v>
      </c>
      <c r="H200" s="5" t="s">
        <v>864</v>
      </c>
      <c r="I200" s="3" t="s">
        <v>865</v>
      </c>
      <c r="J200" s="3" t="s">
        <v>866</v>
      </c>
      <c r="L200" s="3">
        <v>1117</v>
      </c>
      <c r="M200" s="6">
        <f>+(489+404)/2</f>
        <v>446.5</v>
      </c>
      <c r="N200" s="6"/>
    </row>
    <row r="201" spans="1:16">
      <c r="A201" s="3">
        <v>200</v>
      </c>
      <c r="B201" s="4" t="s">
        <v>867</v>
      </c>
      <c r="C201" s="3" t="s">
        <v>868</v>
      </c>
      <c r="D201" s="3" t="s">
        <v>43</v>
      </c>
      <c r="E201" s="3">
        <v>1.75</v>
      </c>
      <c r="F201" s="3">
        <v>10</v>
      </c>
      <c r="H201" s="5" t="s">
        <v>869</v>
      </c>
      <c r="I201" s="3" t="s">
        <v>870</v>
      </c>
      <c r="J201" s="3" t="s">
        <v>871</v>
      </c>
      <c r="K201" s="3" t="s">
        <v>872</v>
      </c>
      <c r="L201" s="3">
        <v>2846</v>
      </c>
      <c r="M201" s="6">
        <v>408</v>
      </c>
      <c r="N201" s="6"/>
    </row>
    <row r="202" spans="1:16" ht="18" customHeight="1">
      <c r="A202" s="3">
        <v>201</v>
      </c>
      <c r="B202" s="4" t="s">
        <v>873</v>
      </c>
      <c r="C202" s="3" t="s">
        <v>874</v>
      </c>
      <c r="D202" s="3" t="s">
        <v>43</v>
      </c>
      <c r="E202" s="3">
        <v>1.6</v>
      </c>
      <c r="F202" s="3">
        <v>11</v>
      </c>
      <c r="H202" s="5" t="s">
        <v>875</v>
      </c>
      <c r="I202" s="3" t="s">
        <v>876</v>
      </c>
      <c r="J202" s="3" t="s">
        <v>877</v>
      </c>
      <c r="K202" s="3" t="s">
        <v>878</v>
      </c>
      <c r="L202" s="3">
        <v>1500</v>
      </c>
      <c r="M202" s="6">
        <v>770</v>
      </c>
      <c r="N202" s="6">
        <v>7.4</v>
      </c>
      <c r="P202" s="3">
        <f>(2.9+2.1)/2</f>
        <v>2.5</v>
      </c>
    </row>
    <row r="203" spans="1:16">
      <c r="A203" s="3">
        <v>202</v>
      </c>
      <c r="B203" s="4" t="s">
        <v>879</v>
      </c>
      <c r="C203" s="3" t="s">
        <v>880</v>
      </c>
      <c r="D203" s="3" t="s">
        <v>32</v>
      </c>
      <c r="E203" s="3">
        <v>33.799999999999997</v>
      </c>
      <c r="F203" s="3">
        <v>4</v>
      </c>
      <c r="G203" s="3">
        <v>0.3</v>
      </c>
      <c r="H203" s="5" t="s">
        <v>881</v>
      </c>
      <c r="I203" s="3" t="s">
        <v>882</v>
      </c>
      <c r="J203" s="3" t="s">
        <v>883</v>
      </c>
      <c r="M203" s="6"/>
      <c r="N203" s="6"/>
    </row>
    <row r="204" spans="1:16">
      <c r="A204" s="3">
        <v>203</v>
      </c>
      <c r="B204" s="4" t="s">
        <v>884</v>
      </c>
      <c r="C204" s="3" t="s">
        <v>885</v>
      </c>
      <c r="D204" s="3" t="s">
        <v>21</v>
      </c>
      <c r="E204" s="3">
        <v>9.6000000000000002E-2</v>
      </c>
      <c r="F204" s="3">
        <v>9.5</v>
      </c>
      <c r="H204" s="5" t="s">
        <v>886</v>
      </c>
      <c r="I204" s="3" t="s">
        <v>546</v>
      </c>
      <c r="J204" s="3" t="s">
        <v>56</v>
      </c>
    </row>
    <row r="205" spans="1:16">
      <c r="A205" s="3">
        <v>204</v>
      </c>
      <c r="B205" s="4" t="s">
        <v>887</v>
      </c>
      <c r="C205" s="3" t="s">
        <v>888</v>
      </c>
      <c r="D205" s="3" t="s">
        <v>21</v>
      </c>
      <c r="E205" s="3">
        <f>+(0.086+0.089)/2</f>
        <v>8.7499999999999994E-2</v>
      </c>
      <c r="F205" s="3">
        <v>10</v>
      </c>
      <c r="H205" s="5" t="s">
        <v>889</v>
      </c>
      <c r="I205" s="3" t="s">
        <v>890</v>
      </c>
      <c r="J205" s="3" t="s">
        <v>891</v>
      </c>
      <c r="M205" s="6"/>
      <c r="N205" s="6"/>
    </row>
    <row r="206" spans="1:16">
      <c r="A206" s="3">
        <v>205</v>
      </c>
      <c r="B206" s="4" t="s">
        <v>892</v>
      </c>
      <c r="C206" s="3" t="s">
        <v>893</v>
      </c>
      <c r="D206" s="3" t="s">
        <v>43</v>
      </c>
      <c r="E206" s="3">
        <v>12</v>
      </c>
      <c r="F206" s="3">
        <v>7</v>
      </c>
      <c r="H206" s="5" t="s">
        <v>667</v>
      </c>
      <c r="I206" s="3" t="s">
        <v>668</v>
      </c>
      <c r="J206" s="3" t="s">
        <v>669</v>
      </c>
      <c r="M206" s="6"/>
      <c r="N206" s="6"/>
    </row>
    <row r="207" spans="1:16">
      <c r="A207" s="3">
        <v>206</v>
      </c>
      <c r="B207" s="4" t="s">
        <v>894</v>
      </c>
      <c r="C207" s="3" t="s">
        <v>895</v>
      </c>
      <c r="D207" s="3" t="s">
        <v>43</v>
      </c>
      <c r="E207" s="3">
        <v>0.9</v>
      </c>
      <c r="F207" s="3">
        <v>8</v>
      </c>
      <c r="H207" s="5" t="s">
        <v>896</v>
      </c>
      <c r="I207" s="3" t="s">
        <v>897</v>
      </c>
      <c r="J207" s="3" t="s">
        <v>898</v>
      </c>
      <c r="K207" s="3" t="s">
        <v>185</v>
      </c>
      <c r="M207" s="6"/>
      <c r="N207" s="6">
        <f>(0.8+5.9)/2</f>
        <v>3.35</v>
      </c>
    </row>
    <row r="208" spans="1:16">
      <c r="A208" s="3">
        <v>207</v>
      </c>
      <c r="B208" s="4" t="s">
        <v>899</v>
      </c>
      <c r="C208" s="3" t="s">
        <v>900</v>
      </c>
      <c r="D208" s="3" t="s">
        <v>43</v>
      </c>
      <c r="E208" s="3">
        <f>(68+105)/2</f>
        <v>86.5</v>
      </c>
      <c r="F208" s="8">
        <v>28</v>
      </c>
      <c r="H208" s="5" t="s">
        <v>901</v>
      </c>
      <c r="I208" s="3" t="s">
        <v>902</v>
      </c>
      <c r="J208" s="3" t="s">
        <v>903</v>
      </c>
      <c r="M208" s="6"/>
      <c r="N208" s="6"/>
    </row>
    <row r="209" spans="1:16">
      <c r="A209" s="3">
        <v>208</v>
      </c>
      <c r="B209" s="4" t="s">
        <v>904</v>
      </c>
      <c r="C209" s="3" t="s">
        <v>905</v>
      </c>
      <c r="D209" s="3" t="s">
        <v>32</v>
      </c>
      <c r="E209" s="3">
        <v>0.4</v>
      </c>
      <c r="F209" s="3">
        <v>5</v>
      </c>
      <c r="H209" s="5" t="s">
        <v>301</v>
      </c>
      <c r="I209" s="3" t="s">
        <v>302</v>
      </c>
      <c r="J209" s="3" t="s">
        <v>303</v>
      </c>
      <c r="M209" s="6"/>
      <c r="N209" s="6"/>
    </row>
    <row r="210" spans="1:16">
      <c r="A210" s="3">
        <v>209</v>
      </c>
      <c r="B210" s="4" t="s">
        <v>906</v>
      </c>
      <c r="C210" s="3" t="s">
        <v>907</v>
      </c>
      <c r="D210" s="3" t="s">
        <v>43</v>
      </c>
      <c r="E210" s="3">
        <v>0.11</v>
      </c>
      <c r="F210" s="3">
        <v>5</v>
      </c>
      <c r="H210" s="5" t="s">
        <v>301</v>
      </c>
      <c r="I210" s="3" t="s">
        <v>302</v>
      </c>
      <c r="J210" s="3" t="s">
        <v>303</v>
      </c>
      <c r="M210" s="6"/>
      <c r="N210" s="6"/>
    </row>
    <row r="211" spans="1:16">
      <c r="A211" s="3">
        <v>210</v>
      </c>
      <c r="B211" s="4" t="s">
        <v>908</v>
      </c>
      <c r="C211" s="3" t="s">
        <v>909</v>
      </c>
      <c r="D211" s="3" t="s">
        <v>43</v>
      </c>
      <c r="E211" s="3">
        <v>0.06</v>
      </c>
      <c r="F211" s="3">
        <v>5</v>
      </c>
      <c r="H211" s="5" t="s">
        <v>910</v>
      </c>
      <c r="I211" s="3" t="s">
        <v>911</v>
      </c>
      <c r="J211" s="3" t="s">
        <v>626</v>
      </c>
      <c r="M211" s="6"/>
      <c r="N211" s="6"/>
    </row>
    <row r="212" spans="1:16">
      <c r="A212" s="3">
        <v>211</v>
      </c>
      <c r="B212" s="4" t="s">
        <v>912</v>
      </c>
      <c r="C212" s="3" t="s">
        <v>913</v>
      </c>
      <c r="D212" s="3" t="s">
        <v>43</v>
      </c>
      <c r="E212" s="3">
        <v>0.06</v>
      </c>
      <c r="F212" s="3">
        <v>6</v>
      </c>
      <c r="H212" s="5" t="s">
        <v>424</v>
      </c>
      <c r="I212" s="3" t="s">
        <v>420</v>
      </c>
      <c r="J212" s="3" t="s">
        <v>421</v>
      </c>
      <c r="M212" s="6"/>
      <c r="N212" s="6"/>
    </row>
    <row r="213" spans="1:16">
      <c r="A213" s="3">
        <v>212</v>
      </c>
      <c r="B213" s="4" t="s">
        <v>914</v>
      </c>
      <c r="C213" s="3" t="s">
        <v>915</v>
      </c>
      <c r="D213" s="3" t="s">
        <v>43</v>
      </c>
      <c r="E213" s="3">
        <v>4.3999999999999997E-2</v>
      </c>
      <c r="F213" s="3">
        <v>12</v>
      </c>
      <c r="H213" s="12" t="s">
        <v>916</v>
      </c>
      <c r="I213" s="3" t="s">
        <v>911</v>
      </c>
      <c r="J213" s="3" t="s">
        <v>626</v>
      </c>
      <c r="M213" s="6"/>
      <c r="N213" s="6"/>
    </row>
    <row r="214" spans="1:16" ht="17" customHeight="1">
      <c r="A214" s="3">
        <v>213</v>
      </c>
      <c r="B214" s="4" t="s">
        <v>917</v>
      </c>
      <c r="C214" s="3" t="s">
        <v>918</v>
      </c>
      <c r="D214" s="3" t="s">
        <v>43</v>
      </c>
      <c r="E214" s="3">
        <v>0.23</v>
      </c>
      <c r="F214" s="3">
        <v>6</v>
      </c>
      <c r="H214" s="5" t="s">
        <v>919</v>
      </c>
      <c r="I214" s="3" t="s">
        <v>920</v>
      </c>
      <c r="J214" s="3" t="s">
        <v>179</v>
      </c>
      <c r="M214" s="6"/>
      <c r="N214" s="6"/>
    </row>
    <row r="215" spans="1:16">
      <c r="A215" s="3">
        <v>214</v>
      </c>
      <c r="B215" s="4" t="s">
        <v>921</v>
      </c>
      <c r="C215" s="3" t="s">
        <v>922</v>
      </c>
      <c r="D215" s="3" t="s">
        <v>32</v>
      </c>
      <c r="E215" s="3">
        <v>3</v>
      </c>
      <c r="F215" s="3">
        <v>7</v>
      </c>
      <c r="H215" s="5" t="s">
        <v>923</v>
      </c>
      <c r="I215" s="3" t="s">
        <v>924</v>
      </c>
      <c r="J215" s="3" t="s">
        <v>925</v>
      </c>
      <c r="M215" s="6"/>
      <c r="N215" s="6"/>
    </row>
    <row r="216" spans="1:16">
      <c r="A216" s="3">
        <v>215</v>
      </c>
      <c r="B216" s="4" t="s">
        <v>926</v>
      </c>
      <c r="C216" s="3" t="s">
        <v>927</v>
      </c>
      <c r="D216" s="3" t="s">
        <v>32</v>
      </c>
      <c r="E216" s="3">
        <v>0.06</v>
      </c>
      <c r="F216" s="3">
        <v>7</v>
      </c>
      <c r="H216" s="5" t="s">
        <v>928</v>
      </c>
      <c r="I216" s="3" t="s">
        <v>929</v>
      </c>
      <c r="J216" s="3" t="s">
        <v>930</v>
      </c>
      <c r="M216" s="6"/>
      <c r="N216" s="6"/>
    </row>
    <row r="217" spans="1:16">
      <c r="A217" s="3">
        <v>216</v>
      </c>
      <c r="B217" s="4" t="s">
        <v>931</v>
      </c>
      <c r="C217" s="3" t="s">
        <v>932</v>
      </c>
      <c r="D217" s="3" t="s">
        <v>32</v>
      </c>
      <c r="E217" s="3">
        <v>20</v>
      </c>
      <c r="F217" s="3">
        <v>3.5</v>
      </c>
      <c r="H217" s="5" t="s">
        <v>549</v>
      </c>
      <c r="I217" s="3" t="s">
        <v>312</v>
      </c>
      <c r="J217" s="3" t="s">
        <v>313</v>
      </c>
      <c r="M217" s="6"/>
      <c r="N217" s="6"/>
      <c r="P217" s="3">
        <v>6</v>
      </c>
    </row>
    <row r="218" spans="1:16">
      <c r="A218" s="3">
        <v>217</v>
      </c>
      <c r="B218" s="4" t="s">
        <v>933</v>
      </c>
      <c r="C218" s="3" t="s">
        <v>934</v>
      </c>
      <c r="D218" s="3" t="s">
        <v>43</v>
      </c>
      <c r="E218" s="3">
        <v>0.4</v>
      </c>
      <c r="F218" s="3">
        <v>6</v>
      </c>
      <c r="H218" s="5" t="s">
        <v>935</v>
      </c>
      <c r="I218" s="3" t="s">
        <v>936</v>
      </c>
      <c r="J218" s="3" t="s">
        <v>937</v>
      </c>
      <c r="M218" s="6"/>
      <c r="N218" s="6"/>
    </row>
    <row r="219" spans="1:16">
      <c r="A219" s="3">
        <v>218</v>
      </c>
      <c r="B219" s="4" t="s">
        <v>938</v>
      </c>
      <c r="C219" s="3" t="s">
        <v>939</v>
      </c>
      <c r="D219" s="3" t="s">
        <v>21</v>
      </c>
      <c r="E219" s="3">
        <v>3.15E-2</v>
      </c>
      <c r="F219" s="3">
        <v>2.4</v>
      </c>
      <c r="H219" s="5" t="s">
        <v>940</v>
      </c>
      <c r="I219" s="3" t="s">
        <v>941</v>
      </c>
      <c r="J219" s="3" t="s">
        <v>942</v>
      </c>
      <c r="K219" s="3" t="s">
        <v>878</v>
      </c>
      <c r="L219" s="3">
        <v>370</v>
      </c>
      <c r="M219" s="6">
        <f>95/2</f>
        <v>47.5</v>
      </c>
      <c r="N219" s="6">
        <f>17/60</f>
        <v>0.28333333333333333</v>
      </c>
    </row>
    <row r="220" spans="1:16">
      <c r="A220" s="3">
        <v>219</v>
      </c>
      <c r="B220" s="4" t="s">
        <v>943</v>
      </c>
      <c r="C220" s="3" t="s">
        <v>944</v>
      </c>
      <c r="D220" s="3" t="s">
        <v>32</v>
      </c>
      <c r="E220" s="3">
        <v>0.1</v>
      </c>
      <c r="F220" s="3">
        <v>0.8</v>
      </c>
      <c r="H220" s="5" t="s">
        <v>945</v>
      </c>
      <c r="I220" s="3" t="s">
        <v>112</v>
      </c>
      <c r="J220" s="3" t="s">
        <v>946</v>
      </c>
    </row>
    <row r="221" spans="1:16">
      <c r="A221" s="3">
        <v>220</v>
      </c>
      <c r="B221" s="4" t="s">
        <v>947</v>
      </c>
      <c r="C221" s="3" t="s">
        <v>948</v>
      </c>
      <c r="D221" s="3" t="s">
        <v>43</v>
      </c>
      <c r="E221" s="3">
        <v>0.14000000000000001</v>
      </c>
      <c r="F221" s="3">
        <v>7</v>
      </c>
      <c r="H221" s="5" t="s">
        <v>949</v>
      </c>
      <c r="I221" s="3" t="s">
        <v>263</v>
      </c>
      <c r="J221" s="3" t="s">
        <v>950</v>
      </c>
      <c r="M221" s="6"/>
      <c r="N221" s="6"/>
    </row>
    <row r="222" spans="1:16">
      <c r="A222" s="3">
        <v>221</v>
      </c>
      <c r="B222" s="4" t="s">
        <v>951</v>
      </c>
      <c r="C222" s="3" t="s">
        <v>952</v>
      </c>
      <c r="D222" s="3" t="s">
        <v>43</v>
      </c>
      <c r="E222" s="3">
        <v>0.86</v>
      </c>
      <c r="F222" s="3">
        <v>10.7</v>
      </c>
      <c r="H222" s="5" t="s">
        <v>262</v>
      </c>
      <c r="I222" s="3" t="s">
        <v>263</v>
      </c>
      <c r="J222" s="3" t="s">
        <v>264</v>
      </c>
      <c r="M222" s="6"/>
      <c r="N222" s="6"/>
    </row>
    <row r="223" spans="1:16">
      <c r="A223" s="3">
        <v>222</v>
      </c>
      <c r="B223" s="4" t="s">
        <v>953</v>
      </c>
      <c r="C223" s="3" t="s">
        <v>954</v>
      </c>
      <c r="D223" s="3" t="s">
        <v>43</v>
      </c>
      <c r="E223" s="3">
        <v>1</v>
      </c>
      <c r="F223" s="3">
        <v>2.5</v>
      </c>
      <c r="H223" s="5" t="s">
        <v>955</v>
      </c>
      <c r="I223" s="3" t="s">
        <v>263</v>
      </c>
      <c r="J223" s="3" t="s">
        <v>950</v>
      </c>
      <c r="M223" s="6"/>
      <c r="N223" s="6"/>
    </row>
    <row r="224" spans="1:16">
      <c r="A224" s="3">
        <v>223</v>
      </c>
      <c r="B224" s="4" t="s">
        <v>956</v>
      </c>
      <c r="C224" s="3" t="s">
        <v>957</v>
      </c>
      <c r="D224" s="3" t="s">
        <v>32</v>
      </c>
      <c r="E224" s="3">
        <v>14.5</v>
      </c>
      <c r="F224" s="3">
        <v>5</v>
      </c>
      <c r="H224" s="5" t="s">
        <v>958</v>
      </c>
      <c r="I224" s="3" t="s">
        <v>959</v>
      </c>
      <c r="J224" s="3" t="s">
        <v>960</v>
      </c>
      <c r="M224" s="6"/>
      <c r="N224" s="6"/>
      <c r="P224" s="3">
        <v>130</v>
      </c>
    </row>
    <row r="225" spans="1:14">
      <c r="A225" s="3">
        <v>224</v>
      </c>
      <c r="B225" s="4" t="s">
        <v>961</v>
      </c>
      <c r="C225" s="3" t="s">
        <v>962</v>
      </c>
      <c r="D225" s="3" t="s">
        <v>43</v>
      </c>
      <c r="E225" s="3">
        <v>4.5</v>
      </c>
      <c r="F225" s="3">
        <v>17.2</v>
      </c>
      <c r="H225" s="5" t="s">
        <v>963</v>
      </c>
      <c r="I225" s="3" t="s">
        <v>964</v>
      </c>
      <c r="J225" s="3" t="s">
        <v>965</v>
      </c>
      <c r="M225" s="6"/>
      <c r="N225" s="6"/>
    </row>
    <row r="226" spans="1:14">
      <c r="A226" s="3">
        <v>225</v>
      </c>
      <c r="B226" s="4" t="s">
        <v>966</v>
      </c>
      <c r="C226" s="3" t="s">
        <v>967</v>
      </c>
      <c r="D226" s="3" t="s">
        <v>43</v>
      </c>
      <c r="E226" s="3">
        <f>(0.78+0.96)/2</f>
        <v>0.87</v>
      </c>
      <c r="F226" s="3">
        <v>6</v>
      </c>
      <c r="H226" s="5" t="s">
        <v>968</v>
      </c>
      <c r="I226" s="3" t="s">
        <v>969</v>
      </c>
      <c r="J226" s="3" t="s">
        <v>970</v>
      </c>
      <c r="M226" s="6"/>
      <c r="N226" s="6">
        <f>140/60</f>
        <v>2.3333333333333335</v>
      </c>
    </row>
    <row r="227" spans="1:14">
      <c r="A227" s="3">
        <v>226</v>
      </c>
      <c r="B227" s="4" t="s">
        <v>971</v>
      </c>
      <c r="C227" s="3" t="s">
        <v>972</v>
      </c>
      <c r="D227" s="3" t="s">
        <v>43</v>
      </c>
      <c r="E227" s="3">
        <f>(0.018+0.044)/2</f>
        <v>3.1E-2</v>
      </c>
      <c r="F227" s="3">
        <v>2.5</v>
      </c>
      <c r="H227" s="5" t="s">
        <v>973</v>
      </c>
      <c r="I227" s="3" t="s">
        <v>974</v>
      </c>
      <c r="J227" s="3" t="s">
        <v>975</v>
      </c>
      <c r="M227" s="6"/>
      <c r="N227" s="6"/>
    </row>
    <row r="228" spans="1:14">
      <c r="A228" s="3">
        <v>227</v>
      </c>
      <c r="B228" s="4" t="s">
        <v>976</v>
      </c>
      <c r="C228" s="3" t="s">
        <v>977</v>
      </c>
      <c r="D228" s="3" t="s">
        <v>43</v>
      </c>
      <c r="E228" s="3">
        <v>5</v>
      </c>
      <c r="F228" s="3">
        <v>12.7</v>
      </c>
      <c r="H228" s="5" t="s">
        <v>978</v>
      </c>
      <c r="I228" s="3" t="s">
        <v>979</v>
      </c>
      <c r="J228" s="3" t="s">
        <v>980</v>
      </c>
      <c r="L228" s="3">
        <v>425</v>
      </c>
      <c r="M228" s="3">
        <v>179</v>
      </c>
    </row>
    <row r="229" spans="1:14">
      <c r="A229" s="3">
        <v>228</v>
      </c>
      <c r="B229" s="4" t="s">
        <v>981</v>
      </c>
      <c r="C229" s="3" t="s">
        <v>982</v>
      </c>
      <c r="D229" s="3" t="s">
        <v>43</v>
      </c>
      <c r="E229" s="3">
        <v>4.0999999999999996</v>
      </c>
      <c r="F229" s="3">
        <v>11</v>
      </c>
      <c r="H229" s="5" t="s">
        <v>875</v>
      </c>
      <c r="I229" s="3" t="s">
        <v>876</v>
      </c>
      <c r="J229" s="3" t="s">
        <v>983</v>
      </c>
      <c r="L229" s="3">
        <v>938</v>
      </c>
      <c r="M229" s="6">
        <f>+(115+134+510)/3</f>
        <v>253</v>
      </c>
      <c r="N229" s="6">
        <f>8+50/60</f>
        <v>8.8333333333333339</v>
      </c>
    </row>
    <row r="230" spans="1:14">
      <c r="A230" s="3">
        <v>229</v>
      </c>
      <c r="B230" s="4" t="s">
        <v>984</v>
      </c>
      <c r="C230" s="3" t="s">
        <v>985</v>
      </c>
      <c r="D230" s="3" t="s">
        <v>32</v>
      </c>
      <c r="E230" s="3">
        <f>+(68+45)/2</f>
        <v>56.5</v>
      </c>
      <c r="F230" s="3">
        <v>7</v>
      </c>
      <c r="H230" s="5" t="s">
        <v>240</v>
      </c>
      <c r="I230" s="3" t="s">
        <v>986</v>
      </c>
      <c r="J230" s="3" t="s">
        <v>987</v>
      </c>
      <c r="K230" s="3" t="s">
        <v>101</v>
      </c>
      <c r="L230" s="3">
        <v>3730</v>
      </c>
      <c r="M230" s="6">
        <v>500</v>
      </c>
      <c r="N230" s="6">
        <f>91/2</f>
        <v>45.5</v>
      </c>
    </row>
    <row r="231" spans="1:14">
      <c r="A231" s="3">
        <v>230</v>
      </c>
      <c r="B231" s="4" t="s">
        <v>988</v>
      </c>
      <c r="C231" s="3" t="s">
        <v>989</v>
      </c>
      <c r="D231" s="3" t="s">
        <v>32</v>
      </c>
      <c r="E231" s="3">
        <v>53</v>
      </c>
      <c r="F231" s="3">
        <v>4</v>
      </c>
      <c r="H231" s="5" t="s">
        <v>990</v>
      </c>
      <c r="I231" s="3" t="s">
        <v>137</v>
      </c>
      <c r="J231" s="3" t="s">
        <v>138</v>
      </c>
      <c r="M231" s="6"/>
      <c r="N231" s="6"/>
    </row>
    <row r="232" spans="1:14">
      <c r="A232" s="3">
        <v>231</v>
      </c>
      <c r="B232" s="4" t="s">
        <v>991</v>
      </c>
      <c r="C232" s="3" t="s">
        <v>992</v>
      </c>
      <c r="D232" s="3" t="s">
        <v>32</v>
      </c>
      <c r="E232" s="3">
        <v>2</v>
      </c>
      <c r="F232" s="3">
        <v>4.5</v>
      </c>
      <c r="H232" s="5" t="s">
        <v>993</v>
      </c>
      <c r="I232" s="3" t="s">
        <v>994</v>
      </c>
      <c r="J232" s="3" t="s">
        <v>995</v>
      </c>
      <c r="M232" s="6"/>
      <c r="N232" s="6"/>
    </row>
    <row r="233" spans="1:14">
      <c r="A233" s="3">
        <v>232</v>
      </c>
      <c r="B233" s="4" t="s">
        <v>996</v>
      </c>
      <c r="C233" s="3" t="s">
        <v>997</v>
      </c>
      <c r="D233" s="3" t="s">
        <v>32</v>
      </c>
      <c r="E233" s="3">
        <v>0.06</v>
      </c>
      <c r="F233" s="3">
        <v>5</v>
      </c>
      <c r="H233" s="5" t="s">
        <v>998</v>
      </c>
      <c r="I233" s="3" t="s">
        <v>178</v>
      </c>
      <c r="J233" s="3" t="s">
        <v>179</v>
      </c>
      <c r="M233" s="6"/>
      <c r="N233" s="6"/>
    </row>
    <row r="234" spans="1:14">
      <c r="A234" s="3">
        <v>233</v>
      </c>
      <c r="B234" s="4" t="s">
        <v>999</v>
      </c>
      <c r="C234" s="3" t="s">
        <v>1000</v>
      </c>
      <c r="D234" s="3" t="s">
        <v>32</v>
      </c>
      <c r="E234" s="3">
        <v>260</v>
      </c>
      <c r="F234" s="3">
        <v>2</v>
      </c>
      <c r="H234" s="5" t="s">
        <v>1001</v>
      </c>
      <c r="I234" s="3" t="s">
        <v>1002</v>
      </c>
      <c r="J234" s="3" t="s">
        <v>1003</v>
      </c>
      <c r="M234" s="6"/>
      <c r="N234" s="6"/>
    </row>
    <row r="235" spans="1:14">
      <c r="A235" s="3">
        <v>234</v>
      </c>
      <c r="B235" s="4" t="s">
        <v>1004</v>
      </c>
      <c r="C235" s="3" t="s">
        <v>1005</v>
      </c>
      <c r="D235" s="3" t="s">
        <v>32</v>
      </c>
      <c r="E235" s="3">
        <v>87</v>
      </c>
      <c r="F235" s="3">
        <v>4</v>
      </c>
      <c r="H235" s="5" t="s">
        <v>1006</v>
      </c>
      <c r="I235" s="3" t="s">
        <v>1007</v>
      </c>
      <c r="J235" s="3" t="s">
        <v>1008</v>
      </c>
      <c r="M235" s="6"/>
      <c r="N235" s="6"/>
    </row>
    <row r="236" spans="1:14">
      <c r="A236" s="3">
        <v>235</v>
      </c>
      <c r="B236" s="4" t="s">
        <v>1009</v>
      </c>
      <c r="C236" s="3" t="s">
        <v>1010</v>
      </c>
      <c r="D236" s="3" t="s">
        <v>43</v>
      </c>
      <c r="E236" s="3">
        <v>4.3</v>
      </c>
      <c r="F236" s="3">
        <v>8</v>
      </c>
      <c r="H236" s="5" t="s">
        <v>896</v>
      </c>
      <c r="I236" s="3" t="s">
        <v>1011</v>
      </c>
      <c r="J236" s="3" t="s">
        <v>856</v>
      </c>
      <c r="M236" s="6"/>
      <c r="N236" s="6"/>
    </row>
    <row r="237" spans="1:14">
      <c r="A237" s="3">
        <v>236</v>
      </c>
      <c r="B237" s="4" t="s">
        <v>1012</v>
      </c>
      <c r="C237" s="3" t="s">
        <v>1013</v>
      </c>
      <c r="D237" s="3" t="s">
        <v>21</v>
      </c>
      <c r="E237" s="3">
        <v>39</v>
      </c>
      <c r="F237" s="3">
        <v>20</v>
      </c>
      <c r="H237" s="5" t="s">
        <v>1014</v>
      </c>
      <c r="I237" s="3" t="s">
        <v>1015</v>
      </c>
      <c r="J237" s="3" t="s">
        <v>1016</v>
      </c>
      <c r="K237" s="3" t="s">
        <v>282</v>
      </c>
      <c r="L237" s="3">
        <v>2995</v>
      </c>
      <c r="M237" s="3">
        <v>1183</v>
      </c>
      <c r="N237" s="3">
        <v>24</v>
      </c>
    </row>
    <row r="238" spans="1:14">
      <c r="A238" s="3">
        <v>237</v>
      </c>
      <c r="B238" s="4" t="s">
        <v>1017</v>
      </c>
      <c r="C238" s="3" t="s">
        <v>1018</v>
      </c>
      <c r="D238" s="3" t="s">
        <v>21</v>
      </c>
      <c r="E238" s="3">
        <f>+(35+49)/2</f>
        <v>42</v>
      </c>
      <c r="F238" s="3">
        <v>33</v>
      </c>
      <c r="H238" s="5" t="s">
        <v>1019</v>
      </c>
      <c r="I238" s="3" t="s">
        <v>1020</v>
      </c>
      <c r="J238" s="3" t="s">
        <v>1021</v>
      </c>
      <c r="M238" s="6"/>
      <c r="N238" s="6"/>
    </row>
    <row r="239" spans="1:14">
      <c r="A239" s="3">
        <v>238</v>
      </c>
      <c r="B239" s="4" t="s">
        <v>1022</v>
      </c>
      <c r="C239" s="3" t="s">
        <v>1023</v>
      </c>
      <c r="D239" s="3" t="s">
        <v>43</v>
      </c>
      <c r="E239" s="3">
        <v>19.5</v>
      </c>
      <c r="F239" s="3">
        <v>21.8</v>
      </c>
      <c r="H239" s="5" t="s">
        <v>1024</v>
      </c>
      <c r="I239" s="3" t="s">
        <v>1025</v>
      </c>
      <c r="J239" s="3" t="s">
        <v>1026</v>
      </c>
      <c r="M239" s="6"/>
      <c r="N239" s="6">
        <v>37</v>
      </c>
    </row>
    <row r="240" spans="1:14">
      <c r="A240" s="3">
        <v>239</v>
      </c>
      <c r="B240" s="4" t="s">
        <v>1027</v>
      </c>
      <c r="C240" s="3" t="s">
        <v>1028</v>
      </c>
      <c r="D240" s="3" t="s">
        <v>43</v>
      </c>
      <c r="E240" s="3">
        <v>12</v>
      </c>
      <c r="F240" s="3">
        <v>6</v>
      </c>
      <c r="H240" s="5" t="s">
        <v>1029</v>
      </c>
      <c r="I240" s="3" t="s">
        <v>34</v>
      </c>
      <c r="J240" s="3" t="s">
        <v>35</v>
      </c>
      <c r="M240" s="6"/>
      <c r="N240" s="6"/>
    </row>
    <row r="241" spans="1:14">
      <c r="A241" s="3">
        <v>240</v>
      </c>
      <c r="B241" s="4" t="s">
        <v>1030</v>
      </c>
      <c r="C241" s="3" t="s">
        <v>1031</v>
      </c>
      <c r="D241" s="3" t="s">
        <v>21</v>
      </c>
      <c r="E241" s="3">
        <v>0.25</v>
      </c>
      <c r="F241" s="8">
        <v>13</v>
      </c>
      <c r="G241" s="8"/>
      <c r="H241" s="5" t="s">
        <v>1032</v>
      </c>
      <c r="I241" s="3" t="s">
        <v>1033</v>
      </c>
      <c r="J241" s="3" t="s">
        <v>1034</v>
      </c>
    </row>
    <row r="242" spans="1:14">
      <c r="A242" s="3">
        <v>241</v>
      </c>
      <c r="B242" s="4" t="s">
        <v>1035</v>
      </c>
      <c r="C242" s="3" t="s">
        <v>1036</v>
      </c>
      <c r="D242" s="3" t="s">
        <v>43</v>
      </c>
      <c r="E242" s="3">
        <v>3.2</v>
      </c>
      <c r="F242" s="3">
        <v>17</v>
      </c>
      <c r="H242" s="5" t="s">
        <v>1037</v>
      </c>
      <c r="I242" s="3" t="s">
        <v>1038</v>
      </c>
      <c r="J242" s="3" t="s">
        <v>1039</v>
      </c>
    </row>
    <row r="243" spans="1:14">
      <c r="A243" s="3">
        <v>242</v>
      </c>
      <c r="B243" s="4" t="s">
        <v>1040</v>
      </c>
      <c r="C243" s="3" t="s">
        <v>1041</v>
      </c>
      <c r="D243" s="3" t="s">
        <v>21</v>
      </c>
      <c r="E243" s="3">
        <f>(0.95+1.15)/2</f>
        <v>1.0499999999999998</v>
      </c>
      <c r="F243" s="3">
        <v>15</v>
      </c>
      <c r="H243" s="5" t="s">
        <v>1042</v>
      </c>
      <c r="I243" s="3" t="s">
        <v>1043</v>
      </c>
      <c r="J243" s="3" t="s">
        <v>1044</v>
      </c>
      <c r="M243" s="6"/>
      <c r="N243" s="6"/>
    </row>
    <row r="244" spans="1:14">
      <c r="A244" s="3">
        <v>243</v>
      </c>
      <c r="B244" s="4" t="s">
        <v>1045</v>
      </c>
      <c r="C244" s="3" t="s">
        <v>1046</v>
      </c>
      <c r="D244" s="3" t="s">
        <v>32</v>
      </c>
      <c r="E244" s="3">
        <f>(290+475)/2</f>
        <v>382.5</v>
      </c>
      <c r="F244" s="3">
        <v>1.5</v>
      </c>
      <c r="G244" s="3">
        <v>2.0699999999999998</v>
      </c>
      <c r="H244" s="5" t="s">
        <v>1047</v>
      </c>
      <c r="I244" s="3" t="s">
        <v>1048</v>
      </c>
      <c r="J244" s="3" t="s">
        <v>1049</v>
      </c>
      <c r="M244" s="6"/>
      <c r="N244" s="6"/>
    </row>
    <row r="245" spans="1:14">
      <c r="A245" s="3">
        <v>244</v>
      </c>
      <c r="B245" s="4" t="s">
        <v>1050</v>
      </c>
      <c r="C245" s="3" t="s">
        <v>1051</v>
      </c>
      <c r="D245" s="3" t="s">
        <v>43</v>
      </c>
      <c r="E245" s="3">
        <v>0.06</v>
      </c>
      <c r="F245" s="3">
        <v>2.4</v>
      </c>
      <c r="H245" s="5" t="s">
        <v>940</v>
      </c>
      <c r="I245" s="3" t="s">
        <v>941</v>
      </c>
      <c r="J245" s="3" t="s">
        <v>942</v>
      </c>
      <c r="K245" s="3" t="s">
        <v>878</v>
      </c>
      <c r="L245" s="3">
        <v>510</v>
      </c>
      <c r="M245" s="6">
        <v>50</v>
      </c>
      <c r="N245" s="6">
        <v>0.3</v>
      </c>
    </row>
    <row r="246" spans="1:14">
      <c r="A246" s="3">
        <v>245</v>
      </c>
      <c r="B246" s="4" t="s">
        <v>1052</v>
      </c>
      <c r="C246" s="3" t="s">
        <v>1053</v>
      </c>
      <c r="D246" s="3" t="s">
        <v>21</v>
      </c>
      <c r="E246" s="3">
        <v>0.21</v>
      </c>
      <c r="F246" s="3">
        <v>17</v>
      </c>
      <c r="H246" s="5" t="s">
        <v>1054</v>
      </c>
      <c r="I246" s="3" t="s">
        <v>1055</v>
      </c>
      <c r="J246" s="3" t="s">
        <v>1056</v>
      </c>
      <c r="M246" s="6"/>
      <c r="N246" s="6"/>
    </row>
    <row r="247" spans="1:14">
      <c r="A247" s="3">
        <v>246</v>
      </c>
      <c r="B247" s="4" t="s">
        <v>1057</v>
      </c>
      <c r="C247" s="3" t="s">
        <v>1058</v>
      </c>
      <c r="D247" s="3" t="s">
        <v>32</v>
      </c>
      <c r="E247" s="3">
        <v>0.32</v>
      </c>
      <c r="F247" s="3">
        <v>5</v>
      </c>
      <c r="H247" s="5" t="s">
        <v>1059</v>
      </c>
      <c r="I247" s="3" t="s">
        <v>1060</v>
      </c>
      <c r="J247" s="3" t="s">
        <v>1061</v>
      </c>
      <c r="M247" s="6"/>
      <c r="N247" s="6"/>
    </row>
    <row r="248" spans="1:14">
      <c r="A248" s="3">
        <v>247</v>
      </c>
      <c r="B248" s="4" t="s">
        <v>1062</v>
      </c>
      <c r="C248" s="3" t="s">
        <v>1063</v>
      </c>
      <c r="D248" s="3" t="s">
        <v>32</v>
      </c>
      <c r="E248" s="3">
        <v>1.6E-2</v>
      </c>
      <c r="F248" s="3">
        <v>3</v>
      </c>
      <c r="H248" s="5" t="s">
        <v>1064</v>
      </c>
      <c r="I248" s="3" t="s">
        <v>1065</v>
      </c>
      <c r="J248" s="3" t="s">
        <v>511</v>
      </c>
      <c r="M248" s="6"/>
      <c r="N248" s="6"/>
    </row>
    <row r="249" spans="1:14">
      <c r="A249" s="3">
        <v>248</v>
      </c>
      <c r="B249" s="4" t="s">
        <v>1066</v>
      </c>
      <c r="C249" s="3" t="s">
        <v>1067</v>
      </c>
      <c r="D249" s="3" t="s">
        <v>43</v>
      </c>
      <c r="E249" s="3">
        <v>25</v>
      </c>
      <c r="F249" s="3">
        <v>12</v>
      </c>
      <c r="H249" s="5" t="s">
        <v>1068</v>
      </c>
      <c r="I249" s="3" t="s">
        <v>1069</v>
      </c>
      <c r="J249" s="3" t="s">
        <v>1070</v>
      </c>
      <c r="M249" s="6"/>
      <c r="N249" s="6"/>
    </row>
    <row r="250" spans="1:14">
      <c r="A250" s="3">
        <v>249</v>
      </c>
      <c r="B250" s="4" t="s">
        <v>1071</v>
      </c>
      <c r="C250" s="3" t="s">
        <v>1072</v>
      </c>
      <c r="D250" s="3" t="s">
        <v>43</v>
      </c>
      <c r="E250" s="3">
        <v>20</v>
      </c>
      <c r="F250" s="3">
        <v>19.600000000000001</v>
      </c>
      <c r="H250" s="5" t="s">
        <v>1073</v>
      </c>
      <c r="I250" s="3" t="s">
        <v>263</v>
      </c>
      <c r="J250" s="3" t="s">
        <v>950</v>
      </c>
      <c r="M250" s="6"/>
      <c r="N250" s="6"/>
    </row>
    <row r="251" spans="1:14">
      <c r="A251" s="3">
        <v>250</v>
      </c>
      <c r="B251" s="4" t="s">
        <v>1074</v>
      </c>
      <c r="C251" s="3" t="s">
        <v>1075</v>
      </c>
      <c r="D251" s="3" t="s">
        <v>32</v>
      </c>
      <c r="E251" s="3">
        <v>7.4999999999999997E-3</v>
      </c>
      <c r="F251" s="3">
        <v>0.2</v>
      </c>
      <c r="H251" s="5" t="s">
        <v>1076</v>
      </c>
      <c r="I251" s="3" t="s">
        <v>1077</v>
      </c>
      <c r="J251" s="3" t="s">
        <v>1078</v>
      </c>
    </row>
    <row r="252" spans="1:14" ht="16" customHeight="1">
      <c r="A252" s="3">
        <v>251</v>
      </c>
      <c r="B252" s="4" t="s">
        <v>1079</v>
      </c>
      <c r="C252" s="3" t="s">
        <v>1080</v>
      </c>
      <c r="D252" s="3" t="s">
        <v>32</v>
      </c>
      <c r="E252" s="3">
        <v>2.1</v>
      </c>
      <c r="F252" s="3">
        <v>2</v>
      </c>
      <c r="H252" s="5" t="s">
        <v>1081</v>
      </c>
      <c r="I252" s="3" t="s">
        <v>1082</v>
      </c>
      <c r="J252" s="3" t="s">
        <v>1083</v>
      </c>
      <c r="M252" s="6"/>
      <c r="N252" s="6"/>
    </row>
    <row r="253" spans="1:14">
      <c r="A253" s="3">
        <v>252</v>
      </c>
      <c r="B253" s="4" t="s">
        <v>1084</v>
      </c>
      <c r="C253" s="3" t="s">
        <v>1085</v>
      </c>
      <c r="D253" s="3" t="s">
        <v>21</v>
      </c>
      <c r="E253" s="3">
        <v>2.5999999999999999E-2</v>
      </c>
      <c r="F253" s="3">
        <v>1.2</v>
      </c>
      <c r="H253" s="5" t="s">
        <v>1086</v>
      </c>
      <c r="I253" s="3" t="s">
        <v>168</v>
      </c>
      <c r="J253" s="3" t="s">
        <v>169</v>
      </c>
    </row>
    <row r="254" spans="1:14">
      <c r="A254" s="3">
        <v>253</v>
      </c>
      <c r="B254" s="4" t="s">
        <v>1087</v>
      </c>
      <c r="C254" s="3" t="s">
        <v>1088</v>
      </c>
      <c r="D254" s="3" t="s">
        <v>21</v>
      </c>
      <c r="E254" s="3">
        <v>2.1999999999999999E-2</v>
      </c>
      <c r="F254" s="3">
        <v>1.3</v>
      </c>
      <c r="H254" s="5" t="s">
        <v>1089</v>
      </c>
      <c r="I254" s="3" t="s">
        <v>1090</v>
      </c>
      <c r="J254" s="3" t="s">
        <v>1091</v>
      </c>
      <c r="M254" s="6"/>
      <c r="N254" s="6"/>
    </row>
    <row r="255" spans="1:14">
      <c r="A255" s="3">
        <v>254</v>
      </c>
      <c r="B255" s="4" t="s">
        <v>1092</v>
      </c>
      <c r="C255" s="3" t="s">
        <v>1093</v>
      </c>
      <c r="D255" s="3" t="s">
        <v>21</v>
      </c>
      <c r="E255" s="3">
        <v>0.03</v>
      </c>
      <c r="F255" s="3">
        <v>1.3</v>
      </c>
      <c r="H255" s="5" t="s">
        <v>1094</v>
      </c>
      <c r="I255" s="3" t="s">
        <v>168</v>
      </c>
      <c r="J255" s="3" t="s">
        <v>169</v>
      </c>
    </row>
    <row r="256" spans="1:14">
      <c r="A256" s="3">
        <v>255</v>
      </c>
      <c r="B256" s="4" t="s">
        <v>1095</v>
      </c>
      <c r="C256" s="3" t="s">
        <v>1096</v>
      </c>
      <c r="D256" s="3" t="s">
        <v>32</v>
      </c>
      <c r="E256" s="3">
        <v>3.6999999999999998E-2</v>
      </c>
      <c r="F256" s="3">
        <v>0.6</v>
      </c>
      <c r="H256" s="5" t="s">
        <v>1097</v>
      </c>
      <c r="I256" s="3" t="s">
        <v>178</v>
      </c>
      <c r="J256" s="3" t="s">
        <v>179</v>
      </c>
      <c r="M256" s="6"/>
      <c r="N256" s="6"/>
    </row>
    <row r="257" spans="1:14">
      <c r="A257" s="3">
        <v>256</v>
      </c>
      <c r="B257" s="4" t="s">
        <v>1098</v>
      </c>
      <c r="C257" s="3" t="s">
        <v>1099</v>
      </c>
      <c r="D257" s="3" t="s">
        <v>32</v>
      </c>
      <c r="E257" s="3">
        <v>0.39300000000000002</v>
      </c>
      <c r="F257" s="3">
        <v>10</v>
      </c>
      <c r="H257" s="5" t="s">
        <v>1100</v>
      </c>
      <c r="I257" s="3" t="s">
        <v>1101</v>
      </c>
      <c r="J257" s="3" t="s">
        <v>1102</v>
      </c>
    </row>
    <row r="258" spans="1:14">
      <c r="A258" s="3">
        <v>257</v>
      </c>
      <c r="B258" s="4" t="s">
        <v>1103</v>
      </c>
      <c r="C258" s="3" t="s">
        <v>1104</v>
      </c>
      <c r="D258" s="3" t="s">
        <v>43</v>
      </c>
      <c r="E258" s="3">
        <v>0.01</v>
      </c>
      <c r="F258" s="3">
        <v>4.5</v>
      </c>
      <c r="H258" s="5" t="s">
        <v>1105</v>
      </c>
      <c r="I258" s="3" t="s">
        <v>1106</v>
      </c>
      <c r="J258" s="3" t="s">
        <v>1107</v>
      </c>
      <c r="M258" s="6"/>
      <c r="N258" s="6"/>
    </row>
    <row r="259" spans="1:14">
      <c r="A259" s="3">
        <v>258</v>
      </c>
      <c r="B259" s="4" t="s">
        <v>1108</v>
      </c>
      <c r="C259" s="3" t="s">
        <v>1109</v>
      </c>
      <c r="D259" s="3" t="s">
        <v>21</v>
      </c>
      <c r="E259" s="3">
        <v>57.5</v>
      </c>
      <c r="F259" s="3">
        <v>18</v>
      </c>
      <c r="H259" s="5" t="s">
        <v>1110</v>
      </c>
      <c r="I259" s="3" t="s">
        <v>1111</v>
      </c>
      <c r="J259" s="3" t="s">
        <v>1112</v>
      </c>
      <c r="N259" s="3">
        <v>76</v>
      </c>
    </row>
    <row r="260" spans="1:14">
      <c r="A260" s="3">
        <v>259</v>
      </c>
      <c r="B260" s="4" t="s">
        <v>1113</v>
      </c>
      <c r="C260" s="3" t="s">
        <v>1114</v>
      </c>
      <c r="D260" s="3" t="s">
        <v>43</v>
      </c>
      <c r="E260" s="3">
        <v>3</v>
      </c>
      <c r="F260" s="3">
        <v>14</v>
      </c>
      <c r="H260" s="5" t="s">
        <v>1115</v>
      </c>
      <c r="I260" s="3" t="s">
        <v>1116</v>
      </c>
      <c r="J260" s="3" t="s">
        <v>71</v>
      </c>
    </row>
    <row r="261" spans="1:14">
      <c r="A261" s="3">
        <v>260</v>
      </c>
      <c r="B261" s="4" t="s">
        <v>1117</v>
      </c>
      <c r="C261" s="3" t="s">
        <v>1118</v>
      </c>
      <c r="D261" s="3" t="s">
        <v>43</v>
      </c>
      <c r="E261" s="3">
        <v>5</v>
      </c>
      <c r="F261" s="3">
        <v>10</v>
      </c>
      <c r="H261" s="5" t="s">
        <v>397</v>
      </c>
      <c r="I261" s="3" t="s">
        <v>398</v>
      </c>
      <c r="J261" s="3" t="s">
        <v>399</v>
      </c>
      <c r="M261" s="6"/>
      <c r="N261" s="6"/>
    </row>
    <row r="262" spans="1:14">
      <c r="A262" s="3">
        <v>261</v>
      </c>
      <c r="B262" s="4" t="s">
        <v>1119</v>
      </c>
      <c r="C262" s="3" t="s">
        <v>1120</v>
      </c>
      <c r="D262" s="3" t="s">
        <v>32</v>
      </c>
      <c r="E262" s="3">
        <v>6.5</v>
      </c>
      <c r="F262" s="3">
        <v>2</v>
      </c>
      <c r="H262" s="5" t="s">
        <v>1121</v>
      </c>
      <c r="I262" s="3" t="s">
        <v>625</v>
      </c>
      <c r="J262" s="3" t="s">
        <v>626</v>
      </c>
      <c r="M262" s="6"/>
      <c r="N262" s="6"/>
    </row>
    <row r="263" spans="1:14">
      <c r="A263" s="3">
        <v>262</v>
      </c>
      <c r="B263" s="4" t="s">
        <v>1122</v>
      </c>
      <c r="C263" s="3" t="s">
        <v>1123</v>
      </c>
      <c r="D263" s="3" t="s">
        <v>43</v>
      </c>
      <c r="E263" s="3">
        <v>9.3299999999999994E-2</v>
      </c>
      <c r="F263" s="3">
        <v>9</v>
      </c>
      <c r="H263" s="5" t="s">
        <v>1124</v>
      </c>
      <c r="I263" s="3" t="s">
        <v>127</v>
      </c>
      <c r="J263" s="3" t="s">
        <v>128</v>
      </c>
      <c r="M263" s="6"/>
      <c r="N263" s="6"/>
    </row>
    <row r="264" spans="1:14">
      <c r="A264" s="3">
        <v>263</v>
      </c>
      <c r="B264" s="4" t="s">
        <v>1125</v>
      </c>
      <c r="C264" s="3" t="s">
        <v>1126</v>
      </c>
      <c r="D264" s="3" t="s">
        <v>43</v>
      </c>
      <c r="E264" s="3">
        <v>8.6</v>
      </c>
      <c r="F264" s="3">
        <v>6</v>
      </c>
      <c r="H264" s="5" t="s">
        <v>476</v>
      </c>
      <c r="I264" s="3" t="s">
        <v>1127</v>
      </c>
      <c r="J264" s="3" t="s">
        <v>1128</v>
      </c>
      <c r="M264" s="6"/>
      <c r="N264" s="6"/>
    </row>
    <row r="265" spans="1:14">
      <c r="A265" s="3">
        <v>264</v>
      </c>
      <c r="B265" s="4" t="s">
        <v>1129</v>
      </c>
      <c r="C265" s="3" t="s">
        <v>1130</v>
      </c>
      <c r="D265" s="3" t="s">
        <v>43</v>
      </c>
      <c r="E265" s="3">
        <v>5.2</v>
      </c>
      <c r="F265" s="3">
        <v>20</v>
      </c>
      <c r="H265" s="5" t="s">
        <v>1131</v>
      </c>
      <c r="I265" s="3" t="s">
        <v>1132</v>
      </c>
      <c r="J265" s="3" t="s">
        <v>435</v>
      </c>
      <c r="M265" s="6"/>
      <c r="N265" s="6">
        <v>6.8</v>
      </c>
    </row>
    <row r="266" spans="1:14">
      <c r="A266" s="3">
        <v>265</v>
      </c>
      <c r="B266" s="4" t="s">
        <v>1133</v>
      </c>
      <c r="C266" s="3" t="s">
        <v>1134</v>
      </c>
      <c r="D266" s="3" t="s">
        <v>32</v>
      </c>
      <c r="E266" s="3">
        <v>0.18</v>
      </c>
      <c r="F266" s="3">
        <v>2</v>
      </c>
      <c r="H266" s="5" t="s">
        <v>162</v>
      </c>
      <c r="I266" s="3" t="s">
        <v>112</v>
      </c>
      <c r="J266" s="3" t="s">
        <v>1135</v>
      </c>
    </row>
    <row r="267" spans="1:14">
      <c r="A267" s="3">
        <v>266</v>
      </c>
      <c r="B267" s="4" t="s">
        <v>1136</v>
      </c>
      <c r="C267" s="3" t="s">
        <v>1137</v>
      </c>
      <c r="D267" s="3" t="s">
        <v>43</v>
      </c>
      <c r="E267" s="3">
        <v>6.5</v>
      </c>
      <c r="F267" s="3">
        <v>25</v>
      </c>
      <c r="H267" s="5" t="s">
        <v>462</v>
      </c>
      <c r="I267" s="3" t="s">
        <v>1138</v>
      </c>
      <c r="J267" s="3" t="s">
        <v>1139</v>
      </c>
      <c r="M267" s="6"/>
      <c r="N267" s="6"/>
    </row>
    <row r="268" spans="1:14">
      <c r="A268" s="3">
        <v>267</v>
      </c>
      <c r="B268" s="4" t="s">
        <v>1140</v>
      </c>
      <c r="C268" s="3" t="s">
        <v>1141</v>
      </c>
      <c r="D268" s="3" t="s">
        <v>43</v>
      </c>
      <c r="E268" s="3">
        <f>(0.22+0.31)/2</f>
        <v>0.26500000000000001</v>
      </c>
      <c r="F268" s="3">
        <v>12</v>
      </c>
      <c r="H268" s="5" t="s">
        <v>1142</v>
      </c>
      <c r="I268" s="3" t="s">
        <v>1143</v>
      </c>
      <c r="J268" s="3" t="s">
        <v>190</v>
      </c>
      <c r="M268" s="6"/>
      <c r="N268" s="6"/>
    </row>
    <row r="269" spans="1:14">
      <c r="A269" s="3">
        <v>268</v>
      </c>
      <c r="B269" s="4" t="s">
        <v>1144</v>
      </c>
      <c r="C269" s="3" t="s">
        <v>1145</v>
      </c>
      <c r="D269" s="3" t="s">
        <v>21</v>
      </c>
      <c r="E269" s="3">
        <v>0.61</v>
      </c>
      <c r="F269" s="3">
        <v>8</v>
      </c>
      <c r="H269" s="5" t="s">
        <v>1146</v>
      </c>
      <c r="I269" s="3" t="s">
        <v>1147</v>
      </c>
      <c r="J269" s="3" t="s">
        <v>1148</v>
      </c>
      <c r="K269" s="3" t="s">
        <v>1149</v>
      </c>
      <c r="M269" s="6"/>
      <c r="N269" s="6">
        <f>66/60</f>
        <v>1.1000000000000001</v>
      </c>
    </row>
    <row r="270" spans="1:14">
      <c r="A270" s="3">
        <v>269</v>
      </c>
      <c r="B270" s="4" t="s">
        <v>1150</v>
      </c>
      <c r="C270" s="3" t="s">
        <v>1151</v>
      </c>
      <c r="D270" s="3" t="s">
        <v>43</v>
      </c>
      <c r="E270" s="3">
        <v>0.7</v>
      </c>
      <c r="F270" s="3">
        <v>3.2</v>
      </c>
      <c r="H270" s="5" t="s">
        <v>167</v>
      </c>
      <c r="I270" s="3" t="s">
        <v>1152</v>
      </c>
      <c r="J270" s="3" t="s">
        <v>328</v>
      </c>
      <c r="M270" s="6"/>
      <c r="N270" s="6"/>
    </row>
    <row r="271" spans="1:14">
      <c r="A271" s="3">
        <v>270</v>
      </c>
      <c r="B271" s="4" t="s">
        <v>1153</v>
      </c>
      <c r="C271" s="3" t="s">
        <v>1154</v>
      </c>
      <c r="D271" s="3" t="s">
        <v>21</v>
      </c>
      <c r="E271" s="3">
        <v>0.45</v>
      </c>
      <c r="F271" s="3">
        <v>1.4</v>
      </c>
      <c r="H271" s="5" t="s">
        <v>1155</v>
      </c>
      <c r="I271" s="3" t="s">
        <v>1156</v>
      </c>
      <c r="J271" s="3" t="s">
        <v>1157</v>
      </c>
      <c r="K271" s="3" t="s">
        <v>878</v>
      </c>
      <c r="L271" s="3">
        <v>1833</v>
      </c>
      <c r="M271" s="6">
        <v>150</v>
      </c>
      <c r="N271" s="6"/>
    </row>
    <row r="272" spans="1:14">
      <c r="A272" s="3">
        <v>271</v>
      </c>
      <c r="B272" s="4" t="s">
        <v>1158</v>
      </c>
      <c r="C272" s="3" t="s">
        <v>1159</v>
      </c>
      <c r="D272" s="3" t="s">
        <v>21</v>
      </c>
      <c r="E272" s="3">
        <v>1.2</v>
      </c>
      <c r="F272" s="3">
        <v>7.7</v>
      </c>
      <c r="H272" s="5" t="s">
        <v>1160</v>
      </c>
      <c r="I272" s="3" t="s">
        <v>1161</v>
      </c>
      <c r="J272" s="3" t="s">
        <v>1162</v>
      </c>
      <c r="M272" s="6"/>
      <c r="N272" s="6"/>
    </row>
    <row r="273" spans="1:17">
      <c r="A273" s="3">
        <v>272</v>
      </c>
      <c r="B273" s="4" t="s">
        <v>1163</v>
      </c>
      <c r="C273" s="3" t="s">
        <v>1164</v>
      </c>
      <c r="D273" s="3" t="s">
        <v>21</v>
      </c>
      <c r="E273" s="3">
        <v>0.46</v>
      </c>
      <c r="F273" s="3">
        <v>1</v>
      </c>
      <c r="H273" s="5" t="s">
        <v>1165</v>
      </c>
      <c r="I273" s="3" t="s">
        <v>1166</v>
      </c>
      <c r="J273" s="3" t="s">
        <v>1167</v>
      </c>
      <c r="M273" s="6"/>
      <c r="N273" s="6"/>
      <c r="P273" s="3">
        <v>5191</v>
      </c>
      <c r="Q273" s="3">
        <v>22</v>
      </c>
    </row>
    <row r="274" spans="1:17">
      <c r="A274" s="3">
        <v>273</v>
      </c>
      <c r="B274" s="4" t="s">
        <v>1168</v>
      </c>
      <c r="C274" s="3" t="s">
        <v>1169</v>
      </c>
      <c r="D274" s="3" t="s">
        <v>21</v>
      </c>
      <c r="E274" s="3">
        <v>0.749</v>
      </c>
      <c r="F274" s="3">
        <v>9.6</v>
      </c>
      <c r="H274" s="5" t="s">
        <v>1170</v>
      </c>
      <c r="I274" s="3" t="s">
        <v>1171</v>
      </c>
      <c r="J274" s="3" t="s">
        <v>1172</v>
      </c>
      <c r="M274" s="6"/>
      <c r="N274" s="6"/>
      <c r="P274" s="3">
        <v>58000</v>
      </c>
      <c r="Q274" s="3">
        <f>(28+15)/2</f>
        <v>21.5</v>
      </c>
    </row>
    <row r="275" spans="1:17">
      <c r="A275" s="3">
        <v>274</v>
      </c>
      <c r="B275" s="4" t="s">
        <v>1173</v>
      </c>
      <c r="C275" s="3" t="s">
        <v>1174</v>
      </c>
      <c r="D275" s="3" t="s">
        <v>21</v>
      </c>
      <c r="E275" s="3">
        <v>0.56000000000000005</v>
      </c>
      <c r="F275" s="3">
        <v>5</v>
      </c>
      <c r="H275" s="5"/>
      <c r="I275" s="3" t="s">
        <v>1175</v>
      </c>
      <c r="J275" s="3" t="s">
        <v>574</v>
      </c>
      <c r="M275" s="6"/>
      <c r="N275" s="6"/>
    </row>
    <row r="276" spans="1:17">
      <c r="A276" s="3">
        <v>275</v>
      </c>
      <c r="B276" s="4" t="s">
        <v>1176</v>
      </c>
      <c r="C276" s="3" t="s">
        <v>1177</v>
      </c>
      <c r="D276" s="3" t="s">
        <v>21</v>
      </c>
      <c r="E276" s="3">
        <v>0.55000000000000004</v>
      </c>
      <c r="F276" s="3">
        <v>1</v>
      </c>
      <c r="H276" s="5" t="s">
        <v>1178</v>
      </c>
      <c r="I276" s="3" t="s">
        <v>1179</v>
      </c>
      <c r="J276" s="3" t="s">
        <v>1180</v>
      </c>
      <c r="M276" s="6"/>
      <c r="N276" s="6"/>
    </row>
    <row r="277" spans="1:17">
      <c r="A277" s="3">
        <v>276</v>
      </c>
      <c r="B277" s="4" t="s">
        <v>1181</v>
      </c>
      <c r="C277" s="3" t="s">
        <v>1182</v>
      </c>
      <c r="D277" s="3" t="s">
        <v>21</v>
      </c>
      <c r="E277" s="3">
        <v>7.1999999999999995E-2</v>
      </c>
      <c r="F277" s="8">
        <v>11</v>
      </c>
      <c r="G277" s="8"/>
      <c r="H277" s="5" t="s">
        <v>1183</v>
      </c>
      <c r="I277" s="3" t="s">
        <v>1033</v>
      </c>
      <c r="J277" s="3" t="s">
        <v>1034</v>
      </c>
    </row>
    <row r="278" spans="1:17">
      <c r="A278" s="3">
        <v>277</v>
      </c>
      <c r="B278" s="4" t="s">
        <v>1184</v>
      </c>
      <c r="C278" s="3" t="s">
        <v>1185</v>
      </c>
      <c r="D278" s="3" t="s">
        <v>21</v>
      </c>
      <c r="E278" s="3">
        <v>8.7999999999999995E-2</v>
      </c>
      <c r="F278" s="3">
        <v>8</v>
      </c>
      <c r="H278" s="5" t="s">
        <v>1186</v>
      </c>
      <c r="I278" s="3" t="s">
        <v>1187</v>
      </c>
      <c r="J278" s="3" t="s">
        <v>1188</v>
      </c>
      <c r="M278" s="6"/>
      <c r="N278" s="6"/>
    </row>
    <row r="279" spans="1:17">
      <c r="A279" s="3">
        <v>278</v>
      </c>
      <c r="B279" s="4" t="s">
        <v>1189</v>
      </c>
      <c r="C279" s="3" t="s">
        <v>1190</v>
      </c>
      <c r="D279" s="3" t="s">
        <v>43</v>
      </c>
      <c r="E279" s="3">
        <v>4.2000000000000003E-2</v>
      </c>
      <c r="F279" s="3">
        <v>6</v>
      </c>
      <c r="H279" s="5" t="s">
        <v>368</v>
      </c>
      <c r="I279" s="3" t="s">
        <v>369</v>
      </c>
      <c r="J279" s="3" t="s">
        <v>370</v>
      </c>
    </row>
    <row r="280" spans="1:17">
      <c r="A280" s="3">
        <v>279</v>
      </c>
      <c r="B280" s="4" t="s">
        <v>1191</v>
      </c>
      <c r="C280" s="3" t="s">
        <v>1192</v>
      </c>
      <c r="D280" s="3" t="s">
        <v>43</v>
      </c>
      <c r="E280" s="3">
        <v>4.2999999999999997E-2</v>
      </c>
      <c r="F280" s="3">
        <v>8</v>
      </c>
      <c r="H280" s="5" t="s">
        <v>1186</v>
      </c>
      <c r="I280" s="3" t="s">
        <v>1187</v>
      </c>
      <c r="J280" s="3" t="s">
        <v>1188</v>
      </c>
      <c r="M280" s="6"/>
      <c r="N280" s="6"/>
    </row>
    <row r="281" spans="1:17">
      <c r="A281" s="3">
        <v>280</v>
      </c>
      <c r="B281" s="4" t="s">
        <v>1193</v>
      </c>
      <c r="C281" s="3" t="s">
        <v>1194</v>
      </c>
      <c r="D281" s="3" t="s">
        <v>43</v>
      </c>
      <c r="E281" s="3">
        <f>(0.024+0.03)/2</f>
        <v>2.7E-2</v>
      </c>
      <c r="F281" s="3">
        <v>6.5</v>
      </c>
      <c r="H281" s="5" t="s">
        <v>1195</v>
      </c>
      <c r="I281" s="3" t="s">
        <v>1196</v>
      </c>
      <c r="J281" s="3" t="s">
        <v>823</v>
      </c>
      <c r="K281" s="3" t="s">
        <v>185</v>
      </c>
      <c r="L281" s="3">
        <v>141</v>
      </c>
      <c r="M281" s="6">
        <v>25</v>
      </c>
      <c r="N281" s="6">
        <f>35/60</f>
        <v>0.58333333333333337</v>
      </c>
    </row>
    <row r="282" spans="1:17">
      <c r="A282" s="3">
        <v>281</v>
      </c>
      <c r="B282" s="4" t="s">
        <v>1197</v>
      </c>
      <c r="C282" s="3" t="s">
        <v>1198</v>
      </c>
      <c r="D282" s="3" t="s">
        <v>21</v>
      </c>
      <c r="E282" s="3">
        <v>0.04</v>
      </c>
      <c r="F282" s="3">
        <v>13</v>
      </c>
      <c r="H282" s="5" t="s">
        <v>1199</v>
      </c>
      <c r="I282" s="3" t="s">
        <v>1200</v>
      </c>
      <c r="J282" s="3" t="s">
        <v>1201</v>
      </c>
      <c r="L282" s="3">
        <v>1400</v>
      </c>
      <c r="M282" s="6">
        <v>131</v>
      </c>
      <c r="N282" s="6">
        <f>77/60</f>
        <v>1.2833333333333334</v>
      </c>
    </row>
    <row r="283" spans="1:17">
      <c r="A283" s="3">
        <v>282</v>
      </c>
      <c r="B283" s="4" t="s">
        <v>1202</v>
      </c>
      <c r="C283" s="3" t="s">
        <v>1203</v>
      </c>
      <c r="D283" s="3" t="s">
        <v>43</v>
      </c>
      <c r="E283" s="3">
        <f>(0.723+0.576)/2</f>
        <v>0.64949999999999997</v>
      </c>
      <c r="F283" s="3">
        <v>20</v>
      </c>
      <c r="H283" s="5" t="s">
        <v>1204</v>
      </c>
      <c r="I283" s="3" t="s">
        <v>226</v>
      </c>
      <c r="J283" s="3" t="s">
        <v>227</v>
      </c>
      <c r="M283" s="6"/>
      <c r="N283" s="6"/>
    </row>
    <row r="284" spans="1:17">
      <c r="A284" s="3">
        <v>283</v>
      </c>
      <c r="B284" s="4" t="s">
        <v>1205</v>
      </c>
      <c r="C284" s="3" t="s">
        <v>1206</v>
      </c>
      <c r="D284" s="3" t="s">
        <v>43</v>
      </c>
      <c r="E284" s="3">
        <v>0.62</v>
      </c>
      <c r="F284" s="3">
        <v>8</v>
      </c>
      <c r="H284" s="5" t="s">
        <v>1207</v>
      </c>
      <c r="I284" s="3" t="s">
        <v>1208</v>
      </c>
      <c r="J284" s="3" t="s">
        <v>950</v>
      </c>
      <c r="L284" s="3">
        <v>800</v>
      </c>
      <c r="M284" s="6">
        <v>144</v>
      </c>
      <c r="N284" s="13">
        <f>25.5/60</f>
        <v>0.42499999999999999</v>
      </c>
      <c r="Q284" s="3">
        <v>1800</v>
      </c>
    </row>
    <row r="285" spans="1:17">
      <c r="A285" s="3">
        <v>284</v>
      </c>
      <c r="B285" s="4" t="s">
        <v>1209</v>
      </c>
      <c r="C285" s="3" t="s">
        <v>1210</v>
      </c>
      <c r="D285" s="3" t="s">
        <v>43</v>
      </c>
      <c r="E285" s="3">
        <v>0.03</v>
      </c>
      <c r="F285" s="3">
        <v>3</v>
      </c>
      <c r="H285" s="5" t="s">
        <v>594</v>
      </c>
      <c r="I285" s="3" t="s">
        <v>332</v>
      </c>
      <c r="J285" s="3" t="s">
        <v>333</v>
      </c>
      <c r="M285" s="6"/>
      <c r="N285" s="6"/>
    </row>
    <row r="286" spans="1:17">
      <c r="A286" s="3">
        <v>285</v>
      </c>
      <c r="B286" s="4" t="s">
        <v>1211</v>
      </c>
      <c r="C286" s="3" t="s">
        <v>1212</v>
      </c>
      <c r="D286" s="3" t="s">
        <v>32</v>
      </c>
      <c r="E286" s="3">
        <v>0.14000000000000001</v>
      </c>
      <c r="F286" s="3">
        <v>4</v>
      </c>
      <c r="H286" s="5" t="s">
        <v>919</v>
      </c>
      <c r="I286" s="3" t="s">
        <v>178</v>
      </c>
      <c r="J286" s="3" t="s">
        <v>179</v>
      </c>
      <c r="M286" s="6"/>
      <c r="N286" s="6"/>
    </row>
    <row r="287" spans="1:17">
      <c r="A287" s="3">
        <v>286</v>
      </c>
      <c r="B287" s="4" t="s">
        <v>1213</v>
      </c>
      <c r="C287" s="3" t="s">
        <v>1214</v>
      </c>
      <c r="D287" s="3" t="s">
        <v>21</v>
      </c>
      <c r="E287" s="8">
        <v>0.8</v>
      </c>
      <c r="F287" s="3">
        <v>22</v>
      </c>
      <c r="H287" s="10" t="s">
        <v>1215</v>
      </c>
      <c r="I287" s="3" t="s">
        <v>1216</v>
      </c>
      <c r="J287" s="3" t="s">
        <v>1217</v>
      </c>
      <c r="M287" s="6"/>
      <c r="N287" s="6"/>
    </row>
    <row r="288" spans="1:17">
      <c r="A288" s="3">
        <v>287</v>
      </c>
      <c r="B288" s="4" t="s">
        <v>1218</v>
      </c>
      <c r="C288" s="3" t="s">
        <v>1219</v>
      </c>
      <c r="D288" s="3" t="s">
        <v>43</v>
      </c>
      <c r="E288" s="3">
        <v>23.5</v>
      </c>
      <c r="F288" s="3">
        <v>30</v>
      </c>
      <c r="H288" s="5" t="s">
        <v>1220</v>
      </c>
      <c r="I288" s="3" t="s">
        <v>1221</v>
      </c>
      <c r="J288" s="3" t="s">
        <v>1222</v>
      </c>
      <c r="M288" s="6"/>
      <c r="N288" s="6"/>
    </row>
    <row r="289" spans="1:19">
      <c r="A289" s="3">
        <v>288</v>
      </c>
      <c r="B289" s="4" t="s">
        <v>1223</v>
      </c>
      <c r="C289" s="3" t="s">
        <v>1224</v>
      </c>
      <c r="D289" s="3" t="s">
        <v>32</v>
      </c>
      <c r="E289" s="3">
        <f>(1800+2700)/2</f>
        <v>2250</v>
      </c>
      <c r="F289" s="3">
        <v>23</v>
      </c>
      <c r="H289" s="5" t="s">
        <v>600</v>
      </c>
      <c r="I289" s="3" t="s">
        <v>245</v>
      </c>
      <c r="J289" s="3" t="s">
        <v>1225</v>
      </c>
      <c r="M289" s="6"/>
      <c r="N289" s="6">
        <f>24*5</f>
        <v>120</v>
      </c>
    </row>
    <row r="290" spans="1:19">
      <c r="A290" s="3">
        <v>289</v>
      </c>
      <c r="B290" s="4" t="s">
        <v>1226</v>
      </c>
      <c r="C290" s="3" t="s">
        <v>1227</v>
      </c>
      <c r="D290" s="3" t="s">
        <v>43</v>
      </c>
      <c r="E290" s="3">
        <v>4.5</v>
      </c>
      <c r="F290" s="3">
        <v>18</v>
      </c>
      <c r="H290" s="5" t="s">
        <v>69</v>
      </c>
      <c r="I290" s="3" t="s">
        <v>1228</v>
      </c>
      <c r="J290" s="3" t="s">
        <v>1229</v>
      </c>
      <c r="M290" s="6"/>
      <c r="N290" s="6"/>
    </row>
    <row r="291" spans="1:19">
      <c r="A291" s="3">
        <v>290</v>
      </c>
      <c r="B291" s="4" t="s">
        <v>1230</v>
      </c>
      <c r="C291" s="3" t="s">
        <v>1231</v>
      </c>
      <c r="D291" s="3" t="s">
        <v>21</v>
      </c>
      <c r="E291" s="3">
        <v>0.125</v>
      </c>
      <c r="F291" s="3">
        <v>11</v>
      </c>
      <c r="H291" s="5" t="s">
        <v>1232</v>
      </c>
      <c r="I291" s="3" t="s">
        <v>1233</v>
      </c>
      <c r="J291" s="3" t="s">
        <v>1234</v>
      </c>
      <c r="M291" s="6"/>
      <c r="N291" s="6"/>
    </row>
    <row r="292" spans="1:19">
      <c r="A292" s="3">
        <v>291</v>
      </c>
      <c r="B292" s="4" t="s">
        <v>1235</v>
      </c>
      <c r="C292" s="3" t="s">
        <v>1236</v>
      </c>
      <c r="D292" s="3" t="s">
        <v>21</v>
      </c>
      <c r="E292" s="3">
        <f>(0.21+0.26)/2</f>
        <v>0.23499999999999999</v>
      </c>
      <c r="F292" s="3">
        <v>13</v>
      </c>
      <c r="H292" s="5" t="s">
        <v>1237</v>
      </c>
      <c r="I292" s="3" t="s">
        <v>520</v>
      </c>
      <c r="J292" s="3" t="s">
        <v>383</v>
      </c>
      <c r="M292" s="6"/>
      <c r="N292" s="6"/>
    </row>
    <row r="293" spans="1:19">
      <c r="A293" s="3">
        <v>292</v>
      </c>
      <c r="B293" s="4" t="s">
        <v>1238</v>
      </c>
      <c r="C293" s="3" t="s">
        <v>1239</v>
      </c>
      <c r="D293" s="3" t="s">
        <v>43</v>
      </c>
      <c r="E293" s="3">
        <f>(0.33+0.56)/2</f>
        <v>0.44500000000000006</v>
      </c>
      <c r="F293" s="3">
        <v>13.5</v>
      </c>
      <c r="H293" s="5" t="s">
        <v>1240</v>
      </c>
      <c r="I293" s="3" t="s">
        <v>1241</v>
      </c>
      <c r="J293" s="3" t="s">
        <v>1242</v>
      </c>
      <c r="L293" s="3">
        <v>656</v>
      </c>
      <c r="M293" s="6">
        <v>239</v>
      </c>
      <c r="N293" s="6"/>
    </row>
    <row r="294" spans="1:19">
      <c r="A294" s="3">
        <v>293</v>
      </c>
      <c r="B294" s="4" t="s">
        <v>1243</v>
      </c>
      <c r="C294" s="3" t="s">
        <v>1244</v>
      </c>
      <c r="D294" s="3" t="s">
        <v>43</v>
      </c>
      <c r="E294" s="3">
        <f>(0.486+0.507)/2</f>
        <v>0.4965</v>
      </c>
      <c r="F294" s="8">
        <v>16</v>
      </c>
      <c r="H294" s="5"/>
      <c r="I294" s="3" t="s">
        <v>1245</v>
      </c>
      <c r="J294" s="3" t="s">
        <v>1246</v>
      </c>
      <c r="M294" s="6"/>
      <c r="N294" s="6"/>
      <c r="S294" s="8"/>
    </row>
    <row r="295" spans="1:19">
      <c r="A295" s="3">
        <v>294</v>
      </c>
      <c r="B295" s="4" t="s">
        <v>1247</v>
      </c>
      <c r="C295" s="3" t="s">
        <v>1248</v>
      </c>
      <c r="D295" s="3" t="s">
        <v>21</v>
      </c>
      <c r="E295" s="3">
        <v>0.46</v>
      </c>
      <c r="F295" s="3">
        <v>8</v>
      </c>
      <c r="H295" s="5" t="s">
        <v>1249</v>
      </c>
      <c r="I295" s="3" t="s">
        <v>1250</v>
      </c>
      <c r="J295" s="3" t="s">
        <v>1251</v>
      </c>
      <c r="K295" s="3" t="s">
        <v>185</v>
      </c>
      <c r="L295" s="3">
        <v>529</v>
      </c>
      <c r="M295" s="6">
        <v>206</v>
      </c>
      <c r="N295" s="6">
        <f>201/60</f>
        <v>3.35</v>
      </c>
    </row>
    <row r="296" spans="1:19">
      <c r="A296" s="3">
        <v>295</v>
      </c>
      <c r="B296" s="4" t="s">
        <v>1252</v>
      </c>
      <c r="C296" s="3" t="s">
        <v>1253</v>
      </c>
      <c r="D296" s="3" t="s">
        <v>43</v>
      </c>
      <c r="E296" s="3">
        <f>(0.61+0.49)/2</f>
        <v>0.55000000000000004</v>
      </c>
      <c r="F296" s="3">
        <v>10</v>
      </c>
      <c r="H296" s="5"/>
      <c r="I296" s="3" t="s">
        <v>1254</v>
      </c>
      <c r="J296" s="3" t="s">
        <v>1255</v>
      </c>
      <c r="M296" s="6"/>
      <c r="N296" s="6">
        <v>3</v>
      </c>
    </row>
    <row r="297" spans="1:19">
      <c r="A297" s="3">
        <v>296</v>
      </c>
      <c r="B297" s="4" t="s">
        <v>1256</v>
      </c>
      <c r="C297" s="3" t="s">
        <v>1257</v>
      </c>
      <c r="D297" s="3" t="s">
        <v>43</v>
      </c>
      <c r="E297" s="3">
        <f>(0.564+0.826)/2</f>
        <v>0.69499999999999995</v>
      </c>
      <c r="F297" s="3">
        <v>13.1</v>
      </c>
      <c r="H297" s="5" t="s">
        <v>1240</v>
      </c>
      <c r="I297" s="3" t="s">
        <v>1241</v>
      </c>
      <c r="J297" s="3" t="s">
        <v>1242</v>
      </c>
      <c r="M297" s="6"/>
      <c r="N297" s="6"/>
    </row>
    <row r="298" spans="1:19">
      <c r="A298" s="3">
        <v>297</v>
      </c>
      <c r="B298" s="4" t="s">
        <v>1258</v>
      </c>
      <c r="C298" s="3" t="s">
        <v>1259</v>
      </c>
      <c r="D298" s="3" t="s">
        <v>43</v>
      </c>
      <c r="E298" s="3">
        <v>0.9</v>
      </c>
      <c r="F298" s="3">
        <v>9.25</v>
      </c>
      <c r="H298" s="5" t="s">
        <v>1260</v>
      </c>
      <c r="I298" s="3" t="s">
        <v>1261</v>
      </c>
      <c r="J298" s="3" t="s">
        <v>259</v>
      </c>
    </row>
    <row r="299" spans="1:19">
      <c r="A299" s="3">
        <v>298</v>
      </c>
      <c r="B299" s="4" t="s">
        <v>1262</v>
      </c>
      <c r="C299" s="3" t="s">
        <v>1263</v>
      </c>
      <c r="D299" s="3" t="s">
        <v>43</v>
      </c>
      <c r="E299" s="3">
        <v>0.04</v>
      </c>
      <c r="F299" s="3">
        <v>3</v>
      </c>
      <c r="H299" s="5" t="s">
        <v>1264</v>
      </c>
      <c r="I299" s="3" t="s">
        <v>332</v>
      </c>
      <c r="J299" s="3" t="s">
        <v>333</v>
      </c>
      <c r="M299" s="6"/>
      <c r="N299" s="6"/>
    </row>
    <row r="300" spans="1:19">
      <c r="A300" s="3">
        <v>299</v>
      </c>
      <c r="B300" s="4" t="s">
        <v>1265</v>
      </c>
      <c r="C300" s="3" t="s">
        <v>1266</v>
      </c>
      <c r="D300" s="3" t="s">
        <v>43</v>
      </c>
      <c r="E300" s="3">
        <f>((7.5/2)+(4.7/2))/2</f>
        <v>3.05</v>
      </c>
      <c r="F300" s="3">
        <v>15</v>
      </c>
      <c r="H300" s="5" t="s">
        <v>1267</v>
      </c>
      <c r="I300" s="3" t="s">
        <v>201</v>
      </c>
      <c r="J300" s="3" t="s">
        <v>202</v>
      </c>
      <c r="M300" s="6">
        <v>355</v>
      </c>
      <c r="N300" s="6"/>
    </row>
    <row r="301" spans="1:19">
      <c r="A301" s="3">
        <v>300</v>
      </c>
      <c r="B301" s="4" t="s">
        <v>1268</v>
      </c>
      <c r="C301" s="3" t="s">
        <v>335</v>
      </c>
      <c r="D301" s="3" t="s">
        <v>43</v>
      </c>
      <c r="E301" s="3">
        <f>+(1.4+3.4)/2</f>
        <v>2.4</v>
      </c>
      <c r="F301" s="3">
        <v>8</v>
      </c>
      <c r="H301" s="5" t="s">
        <v>1269</v>
      </c>
      <c r="I301" s="3" t="s">
        <v>60</v>
      </c>
      <c r="J301" s="3" t="s">
        <v>61</v>
      </c>
      <c r="M301" s="6"/>
      <c r="N301" s="6"/>
    </row>
    <row r="302" spans="1:19">
      <c r="A302" s="3">
        <v>301</v>
      </c>
      <c r="B302" s="4" t="s">
        <v>1270</v>
      </c>
      <c r="C302" s="3" t="s">
        <v>1271</v>
      </c>
      <c r="D302" s="3" t="s">
        <v>43</v>
      </c>
      <c r="E302" s="3">
        <v>3</v>
      </c>
      <c r="F302" s="3">
        <v>21</v>
      </c>
      <c r="H302" s="5" t="s">
        <v>1272</v>
      </c>
      <c r="I302" s="3" t="s">
        <v>1273</v>
      </c>
      <c r="J302" s="3" t="s">
        <v>763</v>
      </c>
      <c r="M302" s="3">
        <v>330</v>
      </c>
    </row>
    <row r="303" spans="1:19" ht="19" customHeight="1">
      <c r="A303" s="3">
        <v>302</v>
      </c>
      <c r="B303" s="4" t="s">
        <v>1274</v>
      </c>
      <c r="C303" s="3" t="s">
        <v>1275</v>
      </c>
      <c r="D303" s="3" t="s">
        <v>21</v>
      </c>
      <c r="E303" s="3">
        <v>6.5000000000000002E-2</v>
      </c>
      <c r="F303" s="3">
        <v>2.4</v>
      </c>
      <c r="H303" s="5" t="s">
        <v>940</v>
      </c>
      <c r="I303" s="3" t="s">
        <v>941</v>
      </c>
      <c r="J303" s="3" t="s">
        <v>942</v>
      </c>
      <c r="K303" s="3" t="s">
        <v>878</v>
      </c>
      <c r="M303" s="6">
        <v>40</v>
      </c>
      <c r="N303" s="6">
        <f>22/30</f>
        <v>0.73333333333333328</v>
      </c>
    </row>
    <row r="304" spans="1:19">
      <c r="A304" s="3">
        <v>303</v>
      </c>
      <c r="B304" s="4" t="s">
        <v>1276</v>
      </c>
      <c r="C304" s="3" t="s">
        <v>1277</v>
      </c>
      <c r="D304" s="3" t="s">
        <v>43</v>
      </c>
      <c r="E304" s="3">
        <v>0.03</v>
      </c>
      <c r="F304" s="3">
        <v>3.5</v>
      </c>
      <c r="H304" s="5" t="s">
        <v>1278</v>
      </c>
      <c r="I304" s="3" t="s">
        <v>1279</v>
      </c>
      <c r="J304" s="3" t="s">
        <v>1280</v>
      </c>
      <c r="P304" s="3">
        <v>29.2</v>
      </c>
    </row>
    <row r="305" spans="1:18">
      <c r="A305" s="3">
        <v>304</v>
      </c>
      <c r="B305" s="4" t="s">
        <v>1281</v>
      </c>
      <c r="C305" s="3" t="s">
        <v>1282</v>
      </c>
      <c r="D305" s="3" t="s">
        <v>21</v>
      </c>
      <c r="E305" s="3">
        <v>0.24</v>
      </c>
      <c r="F305" s="3">
        <v>16</v>
      </c>
      <c r="H305" s="5" t="s">
        <v>1283</v>
      </c>
      <c r="I305" s="3" t="s">
        <v>731</v>
      </c>
      <c r="J305" s="3" t="s">
        <v>732</v>
      </c>
      <c r="M305" s="6"/>
      <c r="N305" s="6"/>
    </row>
    <row r="306" spans="1:18">
      <c r="A306" s="3">
        <v>305</v>
      </c>
      <c r="B306" s="4" t="s">
        <v>1284</v>
      </c>
      <c r="C306" s="3" t="s">
        <v>1285</v>
      </c>
      <c r="D306" s="3" t="s">
        <v>21</v>
      </c>
      <c r="E306" s="3">
        <v>0.4</v>
      </c>
      <c r="F306" s="3">
        <v>29</v>
      </c>
      <c r="G306" s="3">
        <v>5.99</v>
      </c>
      <c r="H306" s="5" t="s">
        <v>1286</v>
      </c>
      <c r="I306" s="3" t="s">
        <v>1287</v>
      </c>
      <c r="J306" s="3" t="s">
        <v>1288</v>
      </c>
      <c r="K306" s="3" t="s">
        <v>101</v>
      </c>
      <c r="L306" s="3">
        <v>47584</v>
      </c>
      <c r="M306" s="6">
        <v>10085</v>
      </c>
      <c r="N306" s="6"/>
      <c r="R306" s="6">
        <f>4*PI()*54*29*29/3</f>
        <v>190229.71836016912</v>
      </c>
    </row>
    <row r="307" spans="1:18">
      <c r="A307" s="3">
        <v>306</v>
      </c>
      <c r="B307" s="4" t="s">
        <v>1289</v>
      </c>
      <c r="C307" s="3" t="s">
        <v>1290</v>
      </c>
      <c r="D307" s="3" t="s">
        <v>21</v>
      </c>
      <c r="E307" s="3">
        <v>1.6E-2</v>
      </c>
      <c r="F307" s="3">
        <v>6</v>
      </c>
      <c r="H307" s="5" t="s">
        <v>172</v>
      </c>
      <c r="I307" s="3" t="s">
        <v>173</v>
      </c>
      <c r="J307" s="3" t="s">
        <v>174</v>
      </c>
      <c r="M307" s="6"/>
      <c r="N307" s="6"/>
    </row>
    <row r="308" spans="1:18" ht="16" customHeight="1">
      <c r="A308" s="3">
        <v>307</v>
      </c>
      <c r="B308" s="4" t="s">
        <v>1291</v>
      </c>
      <c r="C308" s="3" t="s">
        <v>1290</v>
      </c>
      <c r="D308" s="3" t="s">
        <v>21</v>
      </c>
      <c r="E308" s="3">
        <v>2.1000000000000001E-2</v>
      </c>
      <c r="F308" s="3">
        <v>6</v>
      </c>
      <c r="H308" s="5" t="s">
        <v>172</v>
      </c>
      <c r="I308" s="3" t="s">
        <v>173</v>
      </c>
      <c r="J308" s="3" t="s">
        <v>174</v>
      </c>
      <c r="M308" s="6"/>
      <c r="N308" s="6"/>
    </row>
    <row r="309" spans="1:18">
      <c r="A309" s="3">
        <v>308</v>
      </c>
      <c r="B309" s="4" t="s">
        <v>1292</v>
      </c>
      <c r="C309" s="3" t="s">
        <v>1293</v>
      </c>
      <c r="D309" s="3" t="s">
        <v>43</v>
      </c>
      <c r="E309" s="3">
        <v>7.7700000000000005E-2</v>
      </c>
      <c r="F309" s="3">
        <v>1.5</v>
      </c>
      <c r="H309" s="5" t="s">
        <v>1294</v>
      </c>
      <c r="I309" s="3" t="s">
        <v>127</v>
      </c>
      <c r="J309" s="3" t="s">
        <v>128</v>
      </c>
      <c r="M309" s="6"/>
      <c r="N309" s="6"/>
    </row>
    <row r="310" spans="1:18">
      <c r="A310" s="3">
        <v>309</v>
      </c>
      <c r="B310" s="4" t="s">
        <v>1295</v>
      </c>
      <c r="C310" s="3" t="s">
        <v>1296</v>
      </c>
      <c r="D310" s="3" t="s">
        <v>32</v>
      </c>
      <c r="E310" s="3">
        <v>135</v>
      </c>
      <c r="F310" s="3">
        <v>28</v>
      </c>
      <c r="H310" s="5" t="s">
        <v>1297</v>
      </c>
      <c r="I310" s="3" t="s">
        <v>1298</v>
      </c>
      <c r="J310" s="3" t="s">
        <v>1299</v>
      </c>
      <c r="M310" s="6"/>
      <c r="N310" s="6"/>
    </row>
    <row r="311" spans="1:18">
      <c r="A311" s="3">
        <v>310</v>
      </c>
      <c r="B311" s="4" t="s">
        <v>1300</v>
      </c>
      <c r="C311" s="3" t="s">
        <v>1301</v>
      </c>
      <c r="D311" s="3" t="s">
        <v>43</v>
      </c>
      <c r="E311" s="3">
        <v>0.02</v>
      </c>
      <c r="F311" s="3">
        <v>7</v>
      </c>
      <c r="H311" s="5" t="s">
        <v>667</v>
      </c>
      <c r="I311" s="3" t="s">
        <v>1302</v>
      </c>
      <c r="J311" s="3" t="s">
        <v>659</v>
      </c>
    </row>
    <row r="312" spans="1:18" ht="16" customHeight="1">
      <c r="A312" s="3">
        <v>311</v>
      </c>
      <c r="B312" s="4" t="s">
        <v>1303</v>
      </c>
      <c r="C312" s="3" t="s">
        <v>1304</v>
      </c>
      <c r="D312" s="3" t="s">
        <v>43</v>
      </c>
      <c r="E312" s="3">
        <v>16</v>
      </c>
      <c r="F312" s="3">
        <v>9</v>
      </c>
      <c r="H312" s="5" t="s">
        <v>1305</v>
      </c>
      <c r="I312" s="3" t="s">
        <v>137</v>
      </c>
      <c r="J312" s="3" t="s">
        <v>138</v>
      </c>
      <c r="M312" s="6"/>
      <c r="N312" s="6"/>
    </row>
    <row r="313" spans="1:18" ht="16" customHeight="1">
      <c r="A313" s="3">
        <v>312</v>
      </c>
      <c r="B313" s="4" t="s">
        <v>1306</v>
      </c>
      <c r="C313" s="3" t="s">
        <v>1307</v>
      </c>
      <c r="D313" s="3" t="s">
        <v>32</v>
      </c>
      <c r="E313" s="3">
        <f>(0.9+1.375)/2</f>
        <v>1.1375</v>
      </c>
      <c r="F313" s="3">
        <v>4</v>
      </c>
      <c r="H313" s="5" t="s">
        <v>1308</v>
      </c>
      <c r="I313" s="3" t="s">
        <v>1309</v>
      </c>
      <c r="J313" s="3" t="s">
        <v>1310</v>
      </c>
      <c r="M313" s="6"/>
      <c r="N313" s="6"/>
    </row>
    <row r="314" spans="1:18">
      <c r="A314" s="3">
        <v>313</v>
      </c>
      <c r="B314" s="4" t="s">
        <v>1311</v>
      </c>
      <c r="C314" s="3" t="s">
        <v>992</v>
      </c>
      <c r="D314" s="3" t="s">
        <v>32</v>
      </c>
      <c r="E314" s="3">
        <v>0.7</v>
      </c>
      <c r="F314" s="3">
        <v>1.5</v>
      </c>
      <c r="H314" s="5" t="s">
        <v>1312</v>
      </c>
      <c r="I314" s="3" t="s">
        <v>1313</v>
      </c>
      <c r="J314" s="3" t="s">
        <v>1314</v>
      </c>
      <c r="M314" s="6"/>
      <c r="N314" s="6"/>
    </row>
    <row r="315" spans="1:18">
      <c r="A315" s="3">
        <v>314</v>
      </c>
      <c r="B315" s="4" t="s">
        <v>1315</v>
      </c>
      <c r="C315" s="3" t="s">
        <v>1316</v>
      </c>
      <c r="D315" s="3" t="s">
        <v>21</v>
      </c>
      <c r="E315" s="3">
        <v>2.1999999999999999E-2</v>
      </c>
      <c r="F315" s="3">
        <v>3.1</v>
      </c>
      <c r="H315" s="5" t="s">
        <v>1317</v>
      </c>
      <c r="I315" s="3" t="s">
        <v>332</v>
      </c>
      <c r="J315" s="3" t="s">
        <v>333</v>
      </c>
      <c r="M315" s="6"/>
      <c r="N315" s="6"/>
    </row>
    <row r="316" spans="1:18">
      <c r="A316" s="3">
        <v>315</v>
      </c>
      <c r="B316" s="4" t="s">
        <v>1318</v>
      </c>
      <c r="C316" s="3" t="s">
        <v>1319</v>
      </c>
      <c r="D316" s="3" t="s">
        <v>43</v>
      </c>
      <c r="E316" s="3">
        <v>275</v>
      </c>
      <c r="F316" s="3">
        <v>40</v>
      </c>
      <c r="H316" s="5" t="s">
        <v>1320</v>
      </c>
      <c r="I316" s="3" t="s">
        <v>1321</v>
      </c>
      <c r="J316" s="3" t="s">
        <v>1322</v>
      </c>
      <c r="M316" s="6"/>
      <c r="N316" s="6"/>
    </row>
    <row r="317" spans="1:18">
      <c r="A317" s="3">
        <v>316</v>
      </c>
      <c r="B317" s="4" t="s">
        <v>1323</v>
      </c>
      <c r="C317" s="3" t="s">
        <v>1324</v>
      </c>
      <c r="D317" s="3" t="s">
        <v>43</v>
      </c>
      <c r="E317" s="3">
        <v>350</v>
      </c>
      <c r="F317" s="3">
        <v>26</v>
      </c>
      <c r="H317" s="5" t="s">
        <v>1325</v>
      </c>
      <c r="I317" s="3" t="s">
        <v>1326</v>
      </c>
      <c r="J317" s="3" t="s">
        <v>1327</v>
      </c>
      <c r="K317" s="3" t="s">
        <v>1328</v>
      </c>
      <c r="L317" s="3">
        <v>3289</v>
      </c>
      <c r="M317" s="6">
        <f>(917+1287)/2</f>
        <v>1102</v>
      </c>
      <c r="N317" s="6">
        <f>(63+236)/2</f>
        <v>149.5</v>
      </c>
    </row>
    <row r="318" spans="1:18">
      <c r="A318" s="3">
        <v>317</v>
      </c>
      <c r="B318" s="4" t="s">
        <v>1329</v>
      </c>
      <c r="C318" s="3" t="s">
        <v>1330</v>
      </c>
      <c r="D318" s="3" t="s">
        <v>43</v>
      </c>
      <c r="E318" s="3">
        <v>143</v>
      </c>
      <c r="F318" s="3">
        <v>8</v>
      </c>
      <c r="H318" s="5" t="s">
        <v>1331</v>
      </c>
      <c r="I318" s="3" t="s">
        <v>1332</v>
      </c>
      <c r="J318" s="3" t="s">
        <v>1333</v>
      </c>
      <c r="M318" s="6"/>
      <c r="N318" s="6"/>
    </row>
    <row r="319" spans="1:18">
      <c r="A319" s="3">
        <v>318</v>
      </c>
      <c r="B319" s="4" t="s">
        <v>1334</v>
      </c>
      <c r="C319" s="3" t="s">
        <v>1335</v>
      </c>
      <c r="D319" s="3" t="s">
        <v>43</v>
      </c>
      <c r="E319" s="3">
        <v>155.5</v>
      </c>
      <c r="F319" s="3">
        <v>40</v>
      </c>
      <c r="G319" s="3">
        <v>12.2</v>
      </c>
      <c r="H319" s="5" t="s">
        <v>1336</v>
      </c>
      <c r="I319" s="3" t="s">
        <v>1337</v>
      </c>
      <c r="J319" s="3" t="s">
        <v>1338</v>
      </c>
      <c r="M319" s="6"/>
      <c r="N319" s="6"/>
    </row>
    <row r="320" spans="1:18">
      <c r="A320" s="3">
        <v>319</v>
      </c>
      <c r="B320" s="4" t="s">
        <v>1339</v>
      </c>
      <c r="C320" s="3" t="s">
        <v>1340</v>
      </c>
      <c r="D320" s="3" t="s">
        <v>21</v>
      </c>
      <c r="E320" s="3">
        <f>(0.2+0.27)/2</f>
        <v>0.23500000000000001</v>
      </c>
      <c r="F320" s="3">
        <v>17</v>
      </c>
      <c r="H320" s="5" t="s">
        <v>519</v>
      </c>
      <c r="I320" s="3" t="s">
        <v>520</v>
      </c>
      <c r="J320" s="3" t="s">
        <v>383</v>
      </c>
      <c r="M320" s="6"/>
      <c r="N320" s="6"/>
    </row>
    <row r="321" spans="1:16">
      <c r="A321" s="3">
        <v>320</v>
      </c>
      <c r="B321" s="4" t="s">
        <v>1341</v>
      </c>
      <c r="C321" s="3" t="s">
        <v>1342</v>
      </c>
      <c r="D321" s="3" t="s">
        <v>32</v>
      </c>
      <c r="E321" s="3">
        <v>563</v>
      </c>
      <c r="F321" s="3">
        <v>9</v>
      </c>
      <c r="H321" s="5" t="s">
        <v>1343</v>
      </c>
      <c r="I321" s="3" t="s">
        <v>34</v>
      </c>
      <c r="J321" s="3" t="s">
        <v>35</v>
      </c>
      <c r="M321" s="6"/>
      <c r="N321" s="6"/>
    </row>
    <row r="322" spans="1:16">
      <c r="A322" s="3">
        <v>321</v>
      </c>
      <c r="B322" s="4" t="s">
        <v>1344</v>
      </c>
      <c r="C322" s="3" t="s">
        <v>1345</v>
      </c>
      <c r="D322" s="3" t="s">
        <v>32</v>
      </c>
      <c r="E322" s="3">
        <v>33.200000000000003</v>
      </c>
      <c r="F322" s="3">
        <v>20</v>
      </c>
      <c r="H322" s="5" t="s">
        <v>1346</v>
      </c>
      <c r="I322" s="3" t="s">
        <v>1347</v>
      </c>
      <c r="J322" s="3" t="s">
        <v>1348</v>
      </c>
      <c r="M322" s="6"/>
      <c r="N322" s="6"/>
    </row>
    <row r="323" spans="1:16">
      <c r="A323" s="3">
        <v>322</v>
      </c>
      <c r="B323" s="4" t="s">
        <v>1344</v>
      </c>
      <c r="C323" s="3" t="s">
        <v>1349</v>
      </c>
      <c r="D323" s="3" t="s">
        <v>32</v>
      </c>
      <c r="E323" s="3">
        <v>22</v>
      </c>
      <c r="F323" s="3">
        <v>5</v>
      </c>
      <c r="H323" s="5" t="s">
        <v>1350</v>
      </c>
      <c r="I323" s="3" t="s">
        <v>1351</v>
      </c>
      <c r="J323" s="3" t="s">
        <v>1352</v>
      </c>
    </row>
    <row r="324" spans="1:16">
      <c r="A324" s="3">
        <v>323</v>
      </c>
      <c r="B324" s="4" t="s">
        <v>1353</v>
      </c>
      <c r="C324" s="3" t="s">
        <v>1354</v>
      </c>
      <c r="D324" s="3" t="s">
        <v>43</v>
      </c>
      <c r="E324" s="3">
        <v>0.03</v>
      </c>
      <c r="F324" s="3">
        <v>6</v>
      </c>
      <c r="H324" s="5" t="s">
        <v>433</v>
      </c>
      <c r="I324" s="3" t="s">
        <v>1355</v>
      </c>
      <c r="J324" s="3" t="s">
        <v>435</v>
      </c>
      <c r="M324" s="6"/>
      <c r="N324" s="6"/>
    </row>
    <row r="325" spans="1:16">
      <c r="A325" s="3">
        <v>324</v>
      </c>
      <c r="B325" s="4" t="s">
        <v>1356</v>
      </c>
      <c r="C325" s="3" t="s">
        <v>1357</v>
      </c>
      <c r="D325" s="3" t="s">
        <v>43</v>
      </c>
      <c r="E325" s="3">
        <v>0.8</v>
      </c>
      <c r="F325" s="3">
        <v>10</v>
      </c>
      <c r="H325" s="5" t="s">
        <v>1358</v>
      </c>
      <c r="I325" s="3" t="s">
        <v>1359</v>
      </c>
      <c r="J325" s="3" t="s">
        <v>1360</v>
      </c>
      <c r="M325" s="6"/>
      <c r="N325" s="6"/>
    </row>
    <row r="326" spans="1:16">
      <c r="A326" s="3">
        <v>325</v>
      </c>
      <c r="B326" s="4" t="s">
        <v>1361</v>
      </c>
      <c r="C326" s="3" t="s">
        <v>1362</v>
      </c>
      <c r="D326" s="3" t="s">
        <v>32</v>
      </c>
      <c r="E326" s="3">
        <v>0.17299999999999999</v>
      </c>
      <c r="F326" s="3">
        <v>2</v>
      </c>
      <c r="H326" s="5" t="s">
        <v>1363</v>
      </c>
      <c r="I326" s="3" t="s">
        <v>112</v>
      </c>
      <c r="J326" s="3" t="s">
        <v>1364</v>
      </c>
    </row>
    <row r="327" spans="1:16">
      <c r="A327" s="3">
        <v>326</v>
      </c>
      <c r="B327" s="4" t="s">
        <v>1365</v>
      </c>
      <c r="C327" s="3" t="s">
        <v>1366</v>
      </c>
      <c r="D327" s="3" t="s">
        <v>21</v>
      </c>
      <c r="E327" s="3">
        <v>3.1E-2</v>
      </c>
      <c r="F327" s="3">
        <v>5</v>
      </c>
      <c r="H327" s="5" t="s">
        <v>1367</v>
      </c>
      <c r="I327" s="3" t="s">
        <v>158</v>
      </c>
      <c r="J327" s="3" t="s">
        <v>159</v>
      </c>
    </row>
    <row r="328" spans="1:16">
      <c r="A328" s="3">
        <v>327</v>
      </c>
      <c r="B328" s="4" t="s">
        <v>1368</v>
      </c>
      <c r="C328" s="3" t="s">
        <v>1369</v>
      </c>
      <c r="D328" s="3" t="s">
        <v>43</v>
      </c>
      <c r="E328" s="3">
        <v>0.45</v>
      </c>
      <c r="F328" s="3">
        <v>4.5</v>
      </c>
      <c r="H328" s="5" t="s">
        <v>1370</v>
      </c>
      <c r="I328" s="3" t="s">
        <v>1371</v>
      </c>
      <c r="J328" s="3" t="s">
        <v>1372</v>
      </c>
      <c r="L328" s="3">
        <v>170</v>
      </c>
      <c r="M328" s="3">
        <v>40</v>
      </c>
      <c r="N328" s="3">
        <v>40</v>
      </c>
      <c r="P328" s="3">
        <v>1.2</v>
      </c>
    </row>
    <row r="329" spans="1:16">
      <c r="A329" s="3">
        <v>328</v>
      </c>
      <c r="B329" s="4" t="s">
        <v>1373</v>
      </c>
      <c r="C329" s="3" t="s">
        <v>1374</v>
      </c>
      <c r="D329" s="3" t="s">
        <v>32</v>
      </c>
      <c r="E329" s="3">
        <v>1.5</v>
      </c>
      <c r="F329" s="3">
        <v>9</v>
      </c>
      <c r="H329" s="5" t="s">
        <v>1375</v>
      </c>
      <c r="I329" s="3" t="s">
        <v>1376</v>
      </c>
      <c r="J329" s="3" t="s">
        <v>1377</v>
      </c>
      <c r="M329" s="6"/>
      <c r="N329" s="6"/>
    </row>
    <row r="330" spans="1:16">
      <c r="A330" s="3">
        <v>329</v>
      </c>
      <c r="B330" s="4" t="s">
        <v>1378</v>
      </c>
      <c r="C330" s="3" t="s">
        <v>1379</v>
      </c>
      <c r="D330" s="3" t="s">
        <v>32</v>
      </c>
      <c r="E330" s="3">
        <v>7</v>
      </c>
      <c r="F330" s="3">
        <v>4.5</v>
      </c>
      <c r="H330" s="5" t="s">
        <v>1380</v>
      </c>
      <c r="I330" s="3" t="s">
        <v>1381</v>
      </c>
      <c r="J330" s="3" t="s">
        <v>1382</v>
      </c>
      <c r="L330" s="3">
        <v>299</v>
      </c>
      <c r="M330" s="6">
        <v>108</v>
      </c>
      <c r="N330" s="6">
        <v>47</v>
      </c>
    </row>
    <row r="331" spans="1:16">
      <c r="A331" s="3">
        <v>330</v>
      </c>
      <c r="B331" s="4" t="s">
        <v>1383</v>
      </c>
      <c r="C331" s="3" t="s">
        <v>1384</v>
      </c>
      <c r="D331" s="3" t="s">
        <v>32</v>
      </c>
      <c r="E331" s="3">
        <v>198</v>
      </c>
      <c r="F331" s="3">
        <v>12</v>
      </c>
      <c r="H331" s="5" t="s">
        <v>675</v>
      </c>
      <c r="I331" s="3" t="s">
        <v>137</v>
      </c>
      <c r="J331" s="3" t="s">
        <v>138</v>
      </c>
      <c r="M331" s="6"/>
      <c r="N331" s="6"/>
    </row>
    <row r="332" spans="1:16">
      <c r="A332" s="3">
        <v>331</v>
      </c>
      <c r="B332" s="4" t="s">
        <v>1385</v>
      </c>
      <c r="C332" s="3" t="s">
        <v>1386</v>
      </c>
      <c r="D332" s="3" t="s">
        <v>32</v>
      </c>
      <c r="E332" s="3">
        <v>7</v>
      </c>
      <c r="F332" s="3">
        <v>2</v>
      </c>
      <c r="H332" s="5" t="s">
        <v>1387</v>
      </c>
      <c r="I332" s="3" t="s">
        <v>1298</v>
      </c>
      <c r="J332" s="3" t="s">
        <v>1299</v>
      </c>
      <c r="M332" s="6"/>
      <c r="N332" s="6"/>
      <c r="P332" s="3">
        <v>2.5</v>
      </c>
    </row>
    <row r="333" spans="1:16">
      <c r="A333" s="3">
        <v>332</v>
      </c>
      <c r="B333" s="4" t="s">
        <v>1388</v>
      </c>
      <c r="C333" s="3" t="s">
        <v>1389</v>
      </c>
      <c r="D333" s="3" t="s">
        <v>32</v>
      </c>
      <c r="E333" s="3">
        <f>+(1.33+3.35)/2</f>
        <v>2.34</v>
      </c>
      <c r="F333" s="3">
        <v>12</v>
      </c>
      <c r="H333" s="5" t="s">
        <v>1390</v>
      </c>
      <c r="I333" s="3" t="s">
        <v>1391</v>
      </c>
      <c r="J333" s="3" t="s">
        <v>1392</v>
      </c>
      <c r="M333" s="6"/>
      <c r="N333" s="6"/>
    </row>
    <row r="334" spans="1:16">
      <c r="A334" s="3">
        <v>333</v>
      </c>
      <c r="B334" s="4" t="s">
        <v>1393</v>
      </c>
      <c r="C334" s="3" t="s">
        <v>1394</v>
      </c>
      <c r="D334" s="3" t="s">
        <v>21</v>
      </c>
      <c r="E334" s="3">
        <f>(0.069+0.091)/2</f>
        <v>0.08</v>
      </c>
      <c r="F334" s="3">
        <v>8</v>
      </c>
      <c r="H334" s="5" t="s">
        <v>1395</v>
      </c>
      <c r="I334" s="3" t="s">
        <v>1396</v>
      </c>
      <c r="J334" s="3" t="s">
        <v>533</v>
      </c>
      <c r="M334" s="6"/>
      <c r="N334" s="6"/>
    </row>
    <row r="335" spans="1:16">
      <c r="A335" s="3">
        <v>334</v>
      </c>
      <c r="B335" s="4" t="s">
        <v>1397</v>
      </c>
      <c r="C335" s="3" t="s">
        <v>1398</v>
      </c>
      <c r="D335" s="3" t="s">
        <v>43</v>
      </c>
      <c r="E335" s="3">
        <v>0.05</v>
      </c>
      <c r="F335" s="3">
        <v>12</v>
      </c>
      <c r="H335" s="5" t="s">
        <v>1399</v>
      </c>
      <c r="I335" s="3" t="s">
        <v>1400</v>
      </c>
      <c r="J335" s="3" t="s">
        <v>1401</v>
      </c>
      <c r="M335" s="6"/>
      <c r="N335" s="6"/>
    </row>
    <row r="336" spans="1:16">
      <c r="A336" s="3">
        <v>335</v>
      </c>
      <c r="B336" s="4" t="s">
        <v>1402</v>
      </c>
      <c r="C336" s="3" t="s">
        <v>1403</v>
      </c>
      <c r="D336" s="3" t="s">
        <v>21</v>
      </c>
      <c r="E336" s="3">
        <f>(0.052+0.073)/2</f>
        <v>6.25E-2</v>
      </c>
      <c r="F336" s="3">
        <v>5</v>
      </c>
      <c r="H336" s="5" t="s">
        <v>633</v>
      </c>
      <c r="I336" s="3" t="s">
        <v>158</v>
      </c>
      <c r="J336" s="3" t="s">
        <v>159</v>
      </c>
    </row>
    <row r="337" spans="1:22">
      <c r="A337" s="3">
        <v>336</v>
      </c>
      <c r="B337" s="4" t="s">
        <v>1404</v>
      </c>
      <c r="C337" s="3" t="s">
        <v>1405</v>
      </c>
      <c r="D337" s="3" t="s">
        <v>43</v>
      </c>
      <c r="E337" s="3">
        <v>8.5000000000000006E-2</v>
      </c>
      <c r="F337" s="3">
        <v>6</v>
      </c>
      <c r="H337" s="5" t="s">
        <v>476</v>
      </c>
      <c r="I337" s="3" t="s">
        <v>477</v>
      </c>
      <c r="J337" s="3" t="s">
        <v>478</v>
      </c>
      <c r="M337" s="6"/>
      <c r="N337" s="6"/>
    </row>
    <row r="338" spans="1:22">
      <c r="A338" s="3">
        <v>337</v>
      </c>
      <c r="B338" s="4" t="s">
        <v>1406</v>
      </c>
      <c r="C338" s="3" t="s">
        <v>1407</v>
      </c>
      <c r="D338" s="3" t="s">
        <v>43</v>
      </c>
      <c r="E338" s="3">
        <v>0.06</v>
      </c>
      <c r="F338" s="3">
        <v>12</v>
      </c>
      <c r="H338" s="5" t="s">
        <v>1408</v>
      </c>
      <c r="I338" s="3" t="s">
        <v>1400</v>
      </c>
      <c r="J338" s="3" t="s">
        <v>1401</v>
      </c>
      <c r="M338" s="6"/>
      <c r="N338" s="6"/>
    </row>
    <row r="339" spans="1:22" s="1" customFormat="1" ht="18" customHeight="1">
      <c r="A339" s="3">
        <v>338</v>
      </c>
      <c r="B339" s="4" t="s">
        <v>1409</v>
      </c>
      <c r="C339" s="3" t="s">
        <v>1410</v>
      </c>
      <c r="D339" s="3" t="s">
        <v>43</v>
      </c>
      <c r="E339" s="3">
        <v>7.3999999999999996E-2</v>
      </c>
      <c r="F339" s="3">
        <v>3</v>
      </c>
      <c r="G339" s="3"/>
      <c r="H339" s="5" t="s">
        <v>1411</v>
      </c>
      <c r="I339" s="3" t="s">
        <v>332</v>
      </c>
      <c r="J339" s="3" t="s">
        <v>333</v>
      </c>
      <c r="K339" s="3"/>
      <c r="L339" s="3"/>
      <c r="M339" s="6"/>
      <c r="N339" s="6"/>
      <c r="O339" s="3"/>
      <c r="P339" s="3"/>
      <c r="Q339" s="3"/>
      <c r="R339" s="3"/>
      <c r="S339" s="3"/>
      <c r="T339" s="14"/>
      <c r="U339" s="14"/>
      <c r="V339" s="14"/>
    </row>
    <row r="340" spans="1:22">
      <c r="A340" s="3">
        <v>339</v>
      </c>
      <c r="B340" s="4" t="s">
        <v>1412</v>
      </c>
      <c r="C340" s="3" t="s">
        <v>1413</v>
      </c>
      <c r="D340" s="3" t="s">
        <v>43</v>
      </c>
      <c r="E340" s="3">
        <v>6.0999999999999999E-2</v>
      </c>
      <c r="F340" s="3">
        <v>3</v>
      </c>
      <c r="H340" s="5" t="s">
        <v>1414</v>
      </c>
      <c r="I340" s="3" t="s">
        <v>1415</v>
      </c>
      <c r="J340" s="3" t="s">
        <v>1416</v>
      </c>
      <c r="M340" s="6"/>
      <c r="N340" s="6"/>
    </row>
    <row r="341" spans="1:22">
      <c r="A341" s="3">
        <v>340</v>
      </c>
      <c r="B341" s="4" t="s">
        <v>1417</v>
      </c>
      <c r="C341" s="3" t="s">
        <v>1418</v>
      </c>
      <c r="D341" s="3" t="s">
        <v>43</v>
      </c>
      <c r="E341" s="3">
        <v>0.11</v>
      </c>
      <c r="F341" s="3">
        <v>9</v>
      </c>
      <c r="H341" s="5" t="s">
        <v>1124</v>
      </c>
      <c r="I341" s="3" t="s">
        <v>1419</v>
      </c>
      <c r="J341" s="3" t="s">
        <v>1420</v>
      </c>
      <c r="L341" s="3">
        <v>300</v>
      </c>
      <c r="M341" s="6"/>
      <c r="N341" s="6"/>
    </row>
    <row r="342" spans="1:22">
      <c r="A342" s="3">
        <v>341</v>
      </c>
      <c r="B342" s="4" t="s">
        <v>1421</v>
      </c>
      <c r="C342" s="3" t="s">
        <v>1422</v>
      </c>
      <c r="D342" s="3" t="s">
        <v>21</v>
      </c>
      <c r="E342" s="3">
        <v>7.6999999999999999E-2</v>
      </c>
      <c r="F342" s="3">
        <v>7</v>
      </c>
      <c r="H342" s="5" t="s">
        <v>240</v>
      </c>
      <c r="I342" s="3" t="s">
        <v>241</v>
      </c>
      <c r="J342" s="3" t="s">
        <v>242</v>
      </c>
      <c r="M342" s="6"/>
      <c r="N342" s="6"/>
    </row>
    <row r="343" spans="1:22">
      <c r="A343" s="3">
        <v>342</v>
      </c>
      <c r="B343" s="4" t="s">
        <v>1423</v>
      </c>
      <c r="C343" s="3" t="s">
        <v>1424</v>
      </c>
      <c r="D343" s="3" t="s">
        <v>43</v>
      </c>
      <c r="E343" s="3">
        <v>7.9000000000000001E-2</v>
      </c>
      <c r="F343" s="3">
        <v>5</v>
      </c>
      <c r="H343" s="5" t="s">
        <v>1425</v>
      </c>
      <c r="I343" s="3" t="s">
        <v>515</v>
      </c>
      <c r="J343" s="3" t="s">
        <v>516</v>
      </c>
      <c r="M343" s="6"/>
      <c r="N343" s="6"/>
    </row>
    <row r="344" spans="1:22">
      <c r="A344" s="3">
        <v>343</v>
      </c>
      <c r="B344" s="4" t="s">
        <v>1426</v>
      </c>
      <c r="C344" s="3" t="s">
        <v>1427</v>
      </c>
      <c r="D344" s="3" t="s">
        <v>43</v>
      </c>
      <c r="E344" s="3">
        <v>8.5000000000000006E-2</v>
      </c>
      <c r="F344" s="3">
        <v>6.7</v>
      </c>
      <c r="H344" s="5" t="s">
        <v>1428</v>
      </c>
      <c r="I344" s="3" t="s">
        <v>731</v>
      </c>
      <c r="J344" s="3" t="s">
        <v>732</v>
      </c>
      <c r="M344" s="6"/>
      <c r="N344" s="6"/>
    </row>
    <row r="345" spans="1:22">
      <c r="A345" s="3">
        <v>344</v>
      </c>
      <c r="B345" s="4" t="s">
        <v>1429</v>
      </c>
      <c r="C345" s="3" t="s">
        <v>1430</v>
      </c>
      <c r="D345" s="3" t="s">
        <v>43</v>
      </c>
      <c r="E345" s="3">
        <v>6.8000000000000005E-2</v>
      </c>
      <c r="F345" s="3">
        <v>6.6</v>
      </c>
      <c r="H345" s="5" t="s">
        <v>1431</v>
      </c>
      <c r="I345" s="3" t="s">
        <v>1432</v>
      </c>
      <c r="J345" s="3" t="s">
        <v>1433</v>
      </c>
      <c r="M345" s="6"/>
      <c r="N345" s="6"/>
    </row>
    <row r="346" spans="1:22">
      <c r="A346" s="3">
        <v>345</v>
      </c>
      <c r="B346" s="4" t="s">
        <v>1434</v>
      </c>
      <c r="C346" s="3" t="s">
        <v>1435</v>
      </c>
      <c r="D346" s="3" t="s">
        <v>21</v>
      </c>
      <c r="E346" s="3">
        <v>6.3E-2</v>
      </c>
      <c r="F346" s="3">
        <v>6</v>
      </c>
      <c r="H346" s="5" t="s">
        <v>172</v>
      </c>
      <c r="I346" s="3" t="s">
        <v>453</v>
      </c>
      <c r="J346" s="3" t="s">
        <v>454</v>
      </c>
    </row>
    <row r="347" spans="1:22">
      <c r="A347" s="3">
        <v>346</v>
      </c>
      <c r="B347" s="4" t="s">
        <v>1436</v>
      </c>
      <c r="C347" s="3" t="s">
        <v>1437</v>
      </c>
      <c r="D347" s="3" t="s">
        <v>43</v>
      </c>
      <c r="E347" s="3">
        <f>(180+60)/2</f>
        <v>120</v>
      </c>
      <c r="F347" s="3">
        <v>8</v>
      </c>
      <c r="H347" s="5" t="s">
        <v>1438</v>
      </c>
      <c r="I347" s="3" t="s">
        <v>1439</v>
      </c>
      <c r="J347" s="3" t="s">
        <v>1440</v>
      </c>
    </row>
    <row r="348" spans="1:22">
      <c r="A348" s="3">
        <v>347</v>
      </c>
      <c r="B348" s="4" t="s">
        <v>1441</v>
      </c>
      <c r="C348" s="3" t="s">
        <v>1442</v>
      </c>
      <c r="D348" s="3" t="s">
        <v>43</v>
      </c>
      <c r="E348" s="3">
        <f>(130+78)/2</f>
        <v>104</v>
      </c>
      <c r="F348" s="3">
        <v>25</v>
      </c>
      <c r="H348" s="5" t="s">
        <v>1443</v>
      </c>
      <c r="I348" s="3" t="s">
        <v>1444</v>
      </c>
      <c r="J348" s="3" t="s">
        <v>1445</v>
      </c>
      <c r="L348" s="3">
        <v>22000</v>
      </c>
      <c r="M348" s="6">
        <v>1250</v>
      </c>
      <c r="N348" s="6">
        <v>19</v>
      </c>
    </row>
    <row r="349" spans="1:22">
      <c r="A349" s="3">
        <v>348</v>
      </c>
      <c r="B349" s="4" t="s">
        <v>1446</v>
      </c>
      <c r="C349" s="3" t="s">
        <v>1447</v>
      </c>
      <c r="D349" s="3" t="s">
        <v>21</v>
      </c>
      <c r="E349" s="3">
        <v>1.7000000000000001E-2</v>
      </c>
      <c r="F349" s="3">
        <v>1.3</v>
      </c>
      <c r="H349" s="5" t="s">
        <v>1089</v>
      </c>
      <c r="I349" s="3" t="s">
        <v>1090</v>
      </c>
      <c r="J349" s="3" t="s">
        <v>1091</v>
      </c>
      <c r="M349" s="6"/>
      <c r="N349" s="6"/>
    </row>
    <row r="350" spans="1:22">
      <c r="A350" s="3">
        <v>349</v>
      </c>
      <c r="B350" s="4" t="s">
        <v>1448</v>
      </c>
      <c r="C350" s="3" t="s">
        <v>1449</v>
      </c>
      <c r="D350" s="3" t="s">
        <v>43</v>
      </c>
      <c r="E350" s="3">
        <v>6.7</v>
      </c>
      <c r="F350" s="3">
        <v>20</v>
      </c>
      <c r="H350" s="5" t="s">
        <v>1450</v>
      </c>
      <c r="I350" s="3" t="s">
        <v>1451</v>
      </c>
      <c r="J350" s="3" t="s">
        <v>1452</v>
      </c>
      <c r="M350" s="6"/>
      <c r="N350" s="6"/>
    </row>
    <row r="351" spans="1:22">
      <c r="A351" s="3">
        <v>350</v>
      </c>
      <c r="B351" s="4" t="s">
        <v>1453</v>
      </c>
      <c r="C351" s="3" t="s">
        <v>1454</v>
      </c>
      <c r="D351" s="3" t="s">
        <v>21</v>
      </c>
      <c r="E351" s="3">
        <v>3.9</v>
      </c>
      <c r="F351" s="3">
        <v>24.7</v>
      </c>
      <c r="H351" s="5" t="s">
        <v>1455</v>
      </c>
      <c r="I351" s="3" t="s">
        <v>1456</v>
      </c>
      <c r="J351" s="3" t="s">
        <v>1457</v>
      </c>
      <c r="L351" s="3">
        <v>568</v>
      </c>
      <c r="M351" s="6">
        <v>48</v>
      </c>
      <c r="N351" s="6">
        <f>225/60</f>
        <v>3.75</v>
      </c>
    </row>
    <row r="352" spans="1:22">
      <c r="A352" s="3">
        <v>351</v>
      </c>
      <c r="B352" s="4" t="s">
        <v>1458</v>
      </c>
      <c r="C352" s="3" t="s">
        <v>1459</v>
      </c>
      <c r="D352" s="3" t="s">
        <v>21</v>
      </c>
      <c r="E352" s="3">
        <f>+(4.8+2.5)/2</f>
        <v>3.65</v>
      </c>
      <c r="F352" s="3">
        <v>22</v>
      </c>
      <c r="H352" s="5" t="s">
        <v>1460</v>
      </c>
      <c r="I352" s="3" t="s">
        <v>1461</v>
      </c>
      <c r="J352" s="3" t="s">
        <v>1462</v>
      </c>
      <c r="L352" s="3">
        <v>630</v>
      </c>
      <c r="M352" s="6">
        <v>117</v>
      </c>
      <c r="N352" s="6">
        <f>194/60</f>
        <v>3.2333333333333334</v>
      </c>
      <c r="P352" s="3">
        <v>29</v>
      </c>
      <c r="Q352" s="3">
        <v>1080</v>
      </c>
    </row>
    <row r="353" spans="1:14">
      <c r="A353" s="3">
        <v>352</v>
      </c>
      <c r="B353" s="4" t="s">
        <v>1463</v>
      </c>
      <c r="C353" s="3" t="s">
        <v>1464</v>
      </c>
      <c r="D353" s="3" t="s">
        <v>43</v>
      </c>
      <c r="E353" s="3">
        <v>2.4</v>
      </c>
      <c r="F353" s="3">
        <v>11</v>
      </c>
      <c r="H353" s="5" t="s">
        <v>1465</v>
      </c>
      <c r="I353" s="3" t="s">
        <v>1466</v>
      </c>
      <c r="J353" s="3" t="s">
        <v>1467</v>
      </c>
      <c r="M353" s="6"/>
      <c r="N353" s="6"/>
    </row>
    <row r="354" spans="1:14">
      <c r="A354" s="3">
        <v>353</v>
      </c>
      <c r="B354" s="4" t="s">
        <v>1468</v>
      </c>
      <c r="C354" s="3" t="s">
        <v>1469</v>
      </c>
      <c r="D354" s="3" t="s">
        <v>43</v>
      </c>
      <c r="E354" s="3">
        <v>5.5</v>
      </c>
      <c r="F354" s="3">
        <v>11</v>
      </c>
      <c r="H354" s="5" t="s">
        <v>1465</v>
      </c>
      <c r="I354" s="3" t="s">
        <v>1466</v>
      </c>
      <c r="J354" s="3" t="s">
        <v>1467</v>
      </c>
      <c r="K354" s="3" t="s">
        <v>872</v>
      </c>
      <c r="L354" s="3">
        <v>2846</v>
      </c>
      <c r="M354" s="6">
        <v>1321</v>
      </c>
      <c r="N354" s="6"/>
    </row>
    <row r="355" spans="1:14">
      <c r="A355" s="3">
        <v>354</v>
      </c>
      <c r="B355" s="4" t="s">
        <v>1470</v>
      </c>
      <c r="C355" s="3" t="s">
        <v>1471</v>
      </c>
      <c r="D355" s="3" t="s">
        <v>43</v>
      </c>
      <c r="E355" s="3">
        <v>0.11</v>
      </c>
      <c r="F355" s="3">
        <v>6</v>
      </c>
      <c r="H355" s="5" t="s">
        <v>1472</v>
      </c>
      <c r="I355" s="3" t="s">
        <v>1473</v>
      </c>
      <c r="J355" s="3" t="s">
        <v>1474</v>
      </c>
      <c r="M355" s="6"/>
      <c r="N355" s="6"/>
    </row>
    <row r="356" spans="1:14">
      <c r="A356" s="3">
        <v>355</v>
      </c>
      <c r="B356" s="4" t="s">
        <v>1475</v>
      </c>
      <c r="C356" s="3" t="s">
        <v>1476</v>
      </c>
      <c r="D356" s="3" t="s">
        <v>32</v>
      </c>
      <c r="E356" s="3">
        <v>2.2499999999999999E-2</v>
      </c>
      <c r="F356" s="3">
        <v>6</v>
      </c>
      <c r="H356" s="5" t="s">
        <v>476</v>
      </c>
      <c r="I356" s="3" t="s">
        <v>477</v>
      </c>
      <c r="J356" s="3" t="s">
        <v>478</v>
      </c>
      <c r="M356" s="6"/>
      <c r="N356" s="6"/>
    </row>
    <row r="357" spans="1:14">
      <c r="A357" s="3">
        <v>356</v>
      </c>
      <c r="B357" s="4" t="s">
        <v>1477</v>
      </c>
      <c r="C357" s="3" t="s">
        <v>1478</v>
      </c>
      <c r="D357" s="3" t="s">
        <v>43</v>
      </c>
      <c r="E357" s="3">
        <v>0.01</v>
      </c>
      <c r="F357" s="3">
        <v>6.2</v>
      </c>
      <c r="H357" s="5" t="s">
        <v>1479</v>
      </c>
      <c r="I357" s="3" t="s">
        <v>731</v>
      </c>
      <c r="J357" s="3" t="s">
        <v>732</v>
      </c>
      <c r="M357" s="6"/>
      <c r="N357" s="6"/>
    </row>
    <row r="358" spans="1:14">
      <c r="A358" s="3">
        <v>357</v>
      </c>
      <c r="B358" s="4" t="s">
        <v>1480</v>
      </c>
      <c r="C358" s="3" t="s">
        <v>1481</v>
      </c>
      <c r="D358" s="3" t="s">
        <v>21</v>
      </c>
      <c r="E358" s="3">
        <v>1.2999999999999999E-2</v>
      </c>
      <c r="F358" s="3">
        <v>6.6</v>
      </c>
      <c r="H358" s="5" t="s">
        <v>1431</v>
      </c>
      <c r="I358" s="3" t="s">
        <v>1432</v>
      </c>
      <c r="J358" s="3" t="s">
        <v>1482</v>
      </c>
      <c r="M358" s="6"/>
      <c r="N358" s="6"/>
    </row>
  </sheetData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CARDENAS HOYOS</dc:creator>
  <cp:lastModifiedBy>Anne Savage</cp:lastModifiedBy>
  <dcterms:created xsi:type="dcterms:W3CDTF">2020-12-17T17:31:58Z</dcterms:created>
  <dcterms:modified xsi:type="dcterms:W3CDTF">2020-12-23T16:30:00Z</dcterms:modified>
</cp:coreProperties>
</file>